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59966\Documents\SRM Marchandises\Eco-Calculateur\Outil\"/>
    </mc:Choice>
  </mc:AlternateContent>
  <xr:revisionPtr revIDLastSave="0" documentId="13_ncr:1_{31F6F0EB-17EF-4102-ABCB-909CAF706923}" xr6:coauthVersionLast="47" xr6:coauthVersionMax="47" xr10:uidLastSave="{00000000-0000-0000-0000-000000000000}"/>
  <bookViews>
    <workbookView xWindow="-7590" yWindow="-21720" windowWidth="38640" windowHeight="21120" tabRatio="634" xr2:uid="{6357050C-94B2-45F0-A6B9-8FDE67C9E000}"/>
  </bookViews>
  <sheets>
    <sheet name="Intro" sheetId="16" r:id="rId1"/>
    <sheet name="Calculateur - trajet" sheetId="11" r:id="rId2"/>
    <sheet name="Calculateur- Conso" sheetId="14" r:id="rId3"/>
    <sheet name="Emissions transports" sheetId="9" r:id="rId4"/>
    <sheet name="Emissions carburants" sheetId="15" r:id="rId5"/>
    <sheet name="Facteurs carburant" sheetId="17" r:id="rId6"/>
    <sheet name="Emissions Transbordement" sheetId="18" r:id="rId7"/>
    <sheet name="Regressions linéaires" sheetId="13" r:id="rId8"/>
    <sheet name="Données coûts" sheetId="10" r:id="rId9"/>
    <sheet name="Liste" sheetId="4" r:id="rId10"/>
  </sheets>
  <definedNames>
    <definedName name="DensitéFerroviaire">Liste!$G$4:$G$6</definedName>
    <definedName name="DensitéFluvial">Liste!$G$9:$G$11</definedName>
    <definedName name="DensitéRoutier">Liste!$G$25</definedName>
    <definedName name="VehFerroviaire">Liste!$I$4:$I$5</definedName>
    <definedName name="VehFluvial">Liste!$I$9:$I$19</definedName>
    <definedName name="VehRoutier">Liste!$I$25:$I$37</definedName>
    <definedName name="VoieFerroviaire">Liste!$C$4</definedName>
    <definedName name="VoieFluvial">Liste!$C$9:$C$10</definedName>
    <definedName name="VoieRoutier">Liste!$C$25:$C$27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 i="11" l="1"/>
  <c r="N146" i="13"/>
  <c r="K55" i="11" l="1"/>
  <c r="G55" i="11"/>
  <c r="E55" i="11"/>
  <c r="I46" i="10"/>
  <c r="I45" i="10"/>
  <c r="I44" i="10"/>
  <c r="I43" i="10"/>
  <c r="I42" i="10"/>
  <c r="I41" i="10"/>
  <c r="I40" i="10"/>
  <c r="I39" i="10"/>
  <c r="I38" i="10"/>
  <c r="I37" i="10"/>
  <c r="I36" i="10"/>
  <c r="I35" i="10"/>
  <c r="Q19" i="11"/>
  <c r="E25" i="11" l="1"/>
  <c r="F29" i="11" a="1"/>
  <c r="F29" i="11" s="1"/>
  <c r="G21" i="14" l="1"/>
  <c r="M13" i="18"/>
  <c r="N13" i="18"/>
  <c r="O13" i="18"/>
  <c r="L13" i="18"/>
  <c r="E17" i="14"/>
  <c r="M27" i="14" l="1" a="1"/>
  <c r="M27" i="14" s="1"/>
  <c r="M19" i="14" a="1"/>
  <c r="M19" i="14" s="1"/>
  <c r="M31" i="14" a="1"/>
  <c r="M31" i="14" s="1"/>
  <c r="M23" i="14" a="1"/>
  <c r="M23" i="14" s="1"/>
  <c r="E18" i="14"/>
  <c r="Q33" i="11"/>
  <c r="C13" i="10"/>
  <c r="H48" i="10"/>
  <c r="H47" i="10"/>
  <c r="H36" i="10"/>
  <c r="H37" i="10"/>
  <c r="J37" i="10" s="1"/>
  <c r="H38" i="10"/>
  <c r="H39" i="10"/>
  <c r="H40" i="10"/>
  <c r="H41" i="10"/>
  <c r="H42" i="10"/>
  <c r="H43" i="10"/>
  <c r="H44" i="10"/>
  <c r="H45" i="10"/>
  <c r="H46" i="10"/>
  <c r="H35" i="10"/>
  <c r="G48" i="10"/>
  <c r="G47" i="10"/>
  <c r="G36" i="10"/>
  <c r="G37" i="10"/>
  <c r="G38" i="10"/>
  <c r="G39" i="10"/>
  <c r="G40" i="10"/>
  <c r="G41" i="10"/>
  <c r="G42" i="10"/>
  <c r="G43" i="10"/>
  <c r="G44" i="10"/>
  <c r="G45" i="10"/>
  <c r="G46" i="10"/>
  <c r="G35" i="10"/>
  <c r="F48" i="10"/>
  <c r="F47" i="10"/>
  <c r="F36" i="10"/>
  <c r="F37" i="10"/>
  <c r="F38" i="10"/>
  <c r="F39" i="10"/>
  <c r="F40" i="10"/>
  <c r="F41" i="10"/>
  <c r="F42" i="10"/>
  <c r="F43" i="10"/>
  <c r="F44" i="10"/>
  <c r="F45" i="10"/>
  <c r="F46" i="10"/>
  <c r="F35" i="10"/>
  <c r="E48" i="10"/>
  <c r="E47" i="10"/>
  <c r="E36" i="10"/>
  <c r="E37" i="10"/>
  <c r="E38" i="10"/>
  <c r="E39" i="10"/>
  <c r="E40" i="10"/>
  <c r="E41" i="10"/>
  <c r="E42" i="10"/>
  <c r="E43" i="10"/>
  <c r="E44" i="10"/>
  <c r="E45" i="10"/>
  <c r="E46" i="10"/>
  <c r="E35" i="10"/>
  <c r="D48" i="10"/>
  <c r="D47" i="10"/>
  <c r="D36" i="10"/>
  <c r="D37" i="10"/>
  <c r="D38" i="10"/>
  <c r="D39" i="10"/>
  <c r="D40" i="10"/>
  <c r="D41" i="10"/>
  <c r="D42" i="10"/>
  <c r="D43" i="10"/>
  <c r="D44" i="10"/>
  <c r="D45" i="10"/>
  <c r="D46" i="10"/>
  <c r="D35" i="10"/>
  <c r="H26" i="10"/>
  <c r="G26" i="10"/>
  <c r="F26" i="10"/>
  <c r="E26" i="10"/>
  <c r="D26" i="10"/>
  <c r="I26" i="10"/>
  <c r="C26" i="10"/>
  <c r="J26" i="10" s="1"/>
  <c r="I28" i="10"/>
  <c r="J28" i="10" s="1"/>
  <c r="I29" i="10"/>
  <c r="I30" i="10"/>
  <c r="I31" i="10"/>
  <c r="I32" i="10"/>
  <c r="I33" i="10"/>
  <c r="I34" i="10"/>
  <c r="I27" i="10"/>
  <c r="H28" i="10"/>
  <c r="H29" i="10"/>
  <c r="H30" i="10"/>
  <c r="H31" i="10"/>
  <c r="H32" i="10"/>
  <c r="H33" i="10"/>
  <c r="H34" i="10"/>
  <c r="H27" i="10"/>
  <c r="G28" i="10"/>
  <c r="G29" i="10"/>
  <c r="G30" i="10"/>
  <c r="G31" i="10"/>
  <c r="G32" i="10"/>
  <c r="G33" i="10"/>
  <c r="G34" i="10"/>
  <c r="G27" i="10"/>
  <c r="F28" i="10"/>
  <c r="F29" i="10"/>
  <c r="F30" i="10"/>
  <c r="F31" i="10"/>
  <c r="F32" i="10"/>
  <c r="F33" i="10"/>
  <c r="F34" i="10"/>
  <c r="F27" i="10"/>
  <c r="E28" i="10"/>
  <c r="E29" i="10"/>
  <c r="E30" i="10"/>
  <c r="E31" i="10"/>
  <c r="E32" i="10"/>
  <c r="E33" i="10"/>
  <c r="E34" i="10"/>
  <c r="E27" i="10"/>
  <c r="D28" i="10"/>
  <c r="D29" i="10"/>
  <c r="D30" i="10"/>
  <c r="D31" i="10"/>
  <c r="D32" i="10"/>
  <c r="D33" i="10"/>
  <c r="D34" i="10"/>
  <c r="D27" i="10"/>
  <c r="C48" i="10"/>
  <c r="C47" i="10"/>
  <c r="C36" i="10"/>
  <c r="C37" i="10"/>
  <c r="C38" i="10"/>
  <c r="C39" i="10"/>
  <c r="C40" i="10"/>
  <c r="C41" i="10"/>
  <c r="C42" i="10"/>
  <c r="C43" i="10"/>
  <c r="C44" i="10"/>
  <c r="C45" i="10"/>
  <c r="C46" i="10"/>
  <c r="C35" i="10"/>
  <c r="C28" i="10"/>
  <c r="C29" i="10"/>
  <c r="J29" i="10" s="1"/>
  <c r="C30" i="10"/>
  <c r="C31" i="10"/>
  <c r="C32" i="10"/>
  <c r="J32" i="10" s="1"/>
  <c r="C33" i="10"/>
  <c r="J33" i="10" s="1"/>
  <c r="C34" i="10"/>
  <c r="C27" i="10"/>
  <c r="J27" i="10" s="1"/>
  <c r="J30" i="10" l="1"/>
  <c r="J31" i="10"/>
  <c r="E54" i="11"/>
  <c r="J34" i="10"/>
  <c r="J48" i="10"/>
  <c r="J47" i="10"/>
  <c r="J46" i="10"/>
  <c r="J38" i="10"/>
  <c r="J39" i="10"/>
  <c r="J40" i="10"/>
  <c r="J45" i="10"/>
  <c r="J36" i="10"/>
  <c r="J43" i="10"/>
  <c r="J42" i="10"/>
  <c r="J44" i="10"/>
  <c r="J35" i="10"/>
  <c r="J41" i="10"/>
  <c r="E92" i="15"/>
  <c r="E90" i="15"/>
  <c r="E88" i="15"/>
  <c r="E80" i="15"/>
  <c r="E78" i="15"/>
  <c r="E76" i="15"/>
  <c r="E75" i="15"/>
  <c r="E74" i="15"/>
  <c r="E73" i="15"/>
  <c r="D6" i="18" l="1"/>
  <c r="E6" i="18"/>
  <c r="F6" i="18"/>
  <c r="C6" i="18"/>
  <c r="C4" i="18"/>
  <c r="D4" i="18"/>
  <c r="E4" i="18"/>
  <c r="F4" i="18"/>
  <c r="M17" i="18"/>
  <c r="M18" i="18"/>
  <c r="M16" i="18"/>
  <c r="G6" i="13"/>
  <c r="P30" i="14"/>
  <c r="G17" i="14"/>
  <c r="P21" i="14"/>
  <c r="P18" i="14"/>
  <c r="K30" i="14"/>
  <c r="K29" i="14"/>
  <c r="I30" i="14"/>
  <c r="I29" i="14"/>
  <c r="G30" i="14"/>
  <c r="G29" i="14"/>
  <c r="E30" i="14"/>
  <c r="E29" i="14"/>
  <c r="K26" i="14"/>
  <c r="K25" i="14"/>
  <c r="I26" i="14"/>
  <c r="I25" i="14"/>
  <c r="G26" i="14"/>
  <c r="G25" i="14"/>
  <c r="E26" i="14"/>
  <c r="E25" i="14"/>
  <c r="K22" i="14"/>
  <c r="K21" i="14"/>
  <c r="I22" i="14"/>
  <c r="I21" i="14"/>
  <c r="G22" i="14"/>
  <c r="E22" i="14"/>
  <c r="E21" i="14"/>
  <c r="K18" i="14"/>
  <c r="K17" i="14"/>
  <c r="I18" i="14"/>
  <c r="I17" i="14"/>
  <c r="G18" i="14"/>
  <c r="D59" i="15"/>
  <c r="B31" i="11"/>
  <c r="B27" i="11"/>
  <c r="F59" i="15"/>
  <c r="G59" i="15"/>
  <c r="H59" i="15"/>
  <c r="J59" i="15"/>
  <c r="K59" i="15"/>
  <c r="D61" i="15"/>
  <c r="E61" i="15"/>
  <c r="F61" i="15"/>
  <c r="G61" i="15"/>
  <c r="H61" i="15"/>
  <c r="J61" i="15"/>
  <c r="K61" i="15"/>
  <c r="D62" i="15"/>
  <c r="F62" i="15"/>
  <c r="G62" i="15"/>
  <c r="H62" i="15"/>
  <c r="J62" i="15"/>
  <c r="K62" i="15"/>
  <c r="D63" i="15"/>
  <c r="E63" i="15"/>
  <c r="F63" i="15"/>
  <c r="G63" i="15"/>
  <c r="H63" i="15"/>
  <c r="J63" i="15"/>
  <c r="K63" i="15"/>
  <c r="D65" i="15"/>
  <c r="E65" i="15"/>
  <c r="F65" i="15"/>
  <c r="G65" i="15"/>
  <c r="H65" i="15"/>
  <c r="J65" i="15"/>
  <c r="K65" i="15"/>
  <c r="F57" i="15"/>
  <c r="G57" i="15"/>
  <c r="H57" i="15"/>
  <c r="J57" i="15"/>
  <c r="K57" i="15"/>
  <c r="E57" i="15"/>
  <c r="D54" i="15"/>
  <c r="D53" i="15"/>
  <c r="F51" i="15"/>
  <c r="D52" i="15"/>
  <c r="G51" i="15"/>
  <c r="H51" i="15"/>
  <c r="J51" i="15"/>
  <c r="K51" i="15"/>
  <c r="K50" i="15"/>
  <c r="E50" i="15"/>
  <c r="F50" i="15"/>
  <c r="G50" i="15"/>
  <c r="H50" i="15"/>
  <c r="J50" i="15"/>
  <c r="H42" i="15"/>
  <c r="J42" i="15"/>
  <c r="K42" i="15"/>
  <c r="L42" i="15"/>
  <c r="M42" i="15"/>
  <c r="G42" i="15"/>
  <c r="E42" i="15"/>
  <c r="D42" i="15"/>
  <c r="H40" i="15"/>
  <c r="J40" i="15"/>
  <c r="K40" i="15"/>
  <c r="L40" i="15"/>
  <c r="M40" i="15"/>
  <c r="G40" i="15"/>
  <c r="E40" i="15"/>
  <c r="D40" i="15"/>
  <c r="H38" i="15"/>
  <c r="J38" i="15"/>
  <c r="K38" i="15"/>
  <c r="L38" i="15"/>
  <c r="M38" i="15"/>
  <c r="G38" i="15"/>
  <c r="E38" i="15"/>
  <c r="D38" i="15"/>
  <c r="H34" i="15"/>
  <c r="J34" i="15"/>
  <c r="K34" i="15"/>
  <c r="L34" i="15"/>
  <c r="M34" i="15"/>
  <c r="G34" i="15"/>
  <c r="E34" i="15"/>
  <c r="D34" i="15"/>
  <c r="H32" i="15"/>
  <c r="J32" i="15"/>
  <c r="K32" i="15"/>
  <c r="L32" i="15"/>
  <c r="M32" i="15"/>
  <c r="G32" i="15"/>
  <c r="E32" i="15"/>
  <c r="D58" i="15" s="1"/>
  <c r="M22" i="15"/>
  <c r="M23" i="15" s="1"/>
  <c r="M24" i="15" s="1"/>
  <c r="M25" i="15" s="1"/>
  <c r="K54" i="15" s="1"/>
  <c r="L22" i="15"/>
  <c r="L23" i="15" s="1"/>
  <c r="L24" i="15" s="1"/>
  <c r="L25" i="15" s="1"/>
  <c r="J54" i="15" s="1"/>
  <c r="K22" i="15"/>
  <c r="K23" i="15" s="1"/>
  <c r="K24" i="15" s="1"/>
  <c r="K25" i="15" s="1"/>
  <c r="H54" i="15" s="1"/>
  <c r="J22" i="15"/>
  <c r="J23" i="15" s="1"/>
  <c r="J24" i="15" s="1"/>
  <c r="J25" i="15" s="1"/>
  <c r="G54" i="15" s="1"/>
  <c r="H22" i="15"/>
  <c r="H23" i="15" s="1"/>
  <c r="H24" i="15" s="1"/>
  <c r="H25" i="15" s="1"/>
  <c r="F54" i="15" s="1"/>
  <c r="G22" i="15"/>
  <c r="G23" i="15" s="1"/>
  <c r="G24" i="15" s="1"/>
  <c r="G25" i="15" s="1"/>
  <c r="E54" i="15" s="1"/>
  <c r="N16" i="18" l="1"/>
  <c r="F41" i="11" a="1"/>
  <c r="F41" i="11" s="1"/>
  <c r="H41" i="11" a="1"/>
  <c r="H41" i="11" s="1"/>
  <c r="J41" i="11" a="1"/>
  <c r="J41" i="11" s="1"/>
  <c r="J37" i="11" a="1"/>
  <c r="J37" i="11" s="1"/>
  <c r="H37" i="11" a="1"/>
  <c r="H37" i="11" s="1"/>
  <c r="F37" i="11" a="1"/>
  <c r="F37" i="11" s="1"/>
  <c r="J33" i="11" a="1"/>
  <c r="J33" i="11" s="1"/>
  <c r="F33" i="11" a="1"/>
  <c r="F33" i="11" s="1"/>
  <c r="H33" i="11" a="1"/>
  <c r="H33" i="11" s="1"/>
  <c r="H29" i="11" a="1"/>
  <c r="H29" i="11" s="1"/>
  <c r="J29" i="11" a="1"/>
  <c r="J29" i="11" s="1"/>
  <c r="O25" i="14"/>
  <c r="O22" i="14"/>
  <c r="O26" i="14"/>
  <c r="O30" i="14"/>
  <c r="O29" i="14"/>
  <c r="O18" i="14"/>
  <c r="O21" i="14"/>
  <c r="O17" i="14"/>
  <c r="L3" i="18"/>
  <c r="C3" i="18" s="1"/>
  <c r="P29" i="14"/>
  <c r="P17" i="14"/>
  <c r="P22" i="14"/>
  <c r="P25" i="14"/>
  <c r="P26" i="14"/>
  <c r="K58" i="15"/>
  <c r="K60" i="15"/>
  <c r="K64" i="15"/>
  <c r="K66" i="15"/>
  <c r="D60" i="15"/>
  <c r="D64" i="15"/>
  <c r="D66" i="15"/>
  <c r="E58" i="15"/>
  <c r="J58" i="15"/>
  <c r="J60" i="15"/>
  <c r="J64" i="15"/>
  <c r="J66" i="15"/>
  <c r="H58" i="15"/>
  <c r="G58" i="15"/>
  <c r="G60" i="15"/>
  <c r="G64" i="15"/>
  <c r="G66" i="15"/>
  <c r="F58" i="15"/>
  <c r="F60" i="15"/>
  <c r="F64" i="15"/>
  <c r="J52" i="15"/>
  <c r="H60" i="15"/>
  <c r="H64" i="15"/>
  <c r="F66" i="15"/>
  <c r="E64" i="15"/>
  <c r="H66" i="15"/>
  <c r="E66" i="15"/>
  <c r="K52" i="15"/>
  <c r="J53" i="15"/>
  <c r="F52" i="15"/>
  <c r="K53" i="15"/>
  <c r="H53" i="15"/>
  <c r="G53" i="15"/>
  <c r="F53" i="15"/>
  <c r="E53" i="15"/>
  <c r="H52" i="15"/>
  <c r="E52" i="15"/>
  <c r="G52" i="15"/>
  <c r="M29" i="11" l="1"/>
  <c r="O29" i="11" s="1"/>
  <c r="M37" i="11"/>
  <c r="O37" i="11" s="1"/>
  <c r="M41" i="11"/>
  <c r="O41" i="11" s="1"/>
  <c r="M33" i="11"/>
  <c r="O33" i="11" s="1"/>
  <c r="D5" i="18"/>
  <c r="D3" i="18"/>
  <c r="E5" i="18"/>
  <c r="C5" i="18"/>
  <c r="F5" i="18"/>
  <c r="E3" i="18"/>
  <c r="F3" i="18"/>
  <c r="G7" i="13" l="1"/>
  <c r="G8" i="13"/>
  <c r="G9" i="13"/>
  <c r="G10" i="13"/>
  <c r="G11" i="13"/>
  <c r="G12" i="13"/>
  <c r="G13" i="13"/>
  <c r="G14" i="13"/>
  <c r="G15" i="13"/>
  <c r="G16" i="13"/>
  <c r="G17" i="13"/>
  <c r="G18" i="13"/>
  <c r="G19" i="13"/>
  <c r="G20" i="13"/>
  <c r="G21" i="13"/>
  <c r="G22" i="13"/>
  <c r="G23" i="13"/>
  <c r="G24" i="13"/>
  <c r="G25" i="13"/>
  <c r="G26" i="13"/>
  <c r="G27" i="13"/>
  <c r="G28" i="13"/>
  <c r="G29" i="13"/>
  <c r="G48" i="13"/>
  <c r="G49" i="13"/>
  <c r="G50" i="13"/>
  <c r="G57" i="13"/>
  <c r="G58" i="13"/>
  <c r="G59" i="13"/>
  <c r="G60" i="13"/>
  <c r="G61" i="13"/>
  <c r="G62" i="13"/>
  <c r="G63" i="13"/>
  <c r="G64" i="13"/>
  <c r="G65" i="13"/>
  <c r="G66" i="13"/>
  <c r="G67" i="13"/>
  <c r="G68" i="13"/>
  <c r="G75" i="13"/>
  <c r="G76" i="13"/>
  <c r="G77" i="13"/>
  <c r="G78" i="13"/>
  <c r="G79" i="13"/>
  <c r="G80" i="13"/>
  <c r="G81" i="13"/>
  <c r="G82" i="13"/>
  <c r="G83" i="13"/>
  <c r="G84" i="13"/>
  <c r="G85" i="13"/>
  <c r="G86" i="13"/>
  <c r="G93" i="13"/>
  <c r="G94" i="13"/>
  <c r="G95" i="13"/>
  <c r="G96" i="13"/>
  <c r="G97" i="13"/>
  <c r="G98" i="13"/>
  <c r="G99" i="13"/>
  <c r="G100" i="13"/>
  <c r="G101" i="13"/>
  <c r="G108" i="13"/>
  <c r="G109" i="13"/>
  <c r="G110" i="13"/>
  <c r="G111" i="13"/>
  <c r="G112" i="13"/>
  <c r="G113" i="13"/>
  <c r="Q25" i="11" l="1"/>
  <c r="B39" i="11"/>
  <c r="B35" i="11"/>
  <c r="E49" i="11"/>
  <c r="Q55" i="11" l="1"/>
  <c r="Q54" i="11"/>
  <c r="Q37" i="11"/>
  <c r="Q28" i="11"/>
  <c r="Q36" i="11"/>
  <c r="Q27" i="11"/>
  <c r="Q40" i="11"/>
  <c r="Q31" i="11"/>
  <c r="Q39" i="11"/>
  <c r="Q35" i="11"/>
  <c r="Q32" i="11"/>
  <c r="E40" i="11"/>
  <c r="E36" i="11"/>
  <c r="E32" i="11"/>
  <c r="E28" i="11"/>
  <c r="E39" i="11"/>
  <c r="E35" i="11"/>
  <c r="E31" i="11"/>
  <c r="E27" i="11"/>
  <c r="Q50" i="11" l="1"/>
  <c r="Q51" i="11"/>
  <c r="Q53" i="11"/>
  <c r="Q47" i="11"/>
  <c r="Q49" i="11"/>
  <c r="Q52" i="11"/>
  <c r="Q192" i="9"/>
  <c r="R192" i="9" s="1"/>
  <c r="Q193" i="9"/>
  <c r="R193" i="9" s="1"/>
  <c r="Q194" i="9"/>
  <c r="R194" i="9" s="1"/>
  <c r="Q195" i="9"/>
  <c r="R195" i="9" s="1"/>
  <c r="Q196" i="9"/>
  <c r="R196" i="9" s="1"/>
  <c r="Q197" i="9"/>
  <c r="R197" i="9" s="1"/>
  <c r="Q198" i="9"/>
  <c r="R198" i="9" s="1"/>
  <c r="Q199" i="9"/>
  <c r="R199" i="9" s="1"/>
  <c r="Q200" i="9"/>
  <c r="R200" i="9" s="1"/>
  <c r="Q201" i="9"/>
  <c r="R201" i="9" s="1"/>
  <c r="Q202" i="9"/>
  <c r="R202" i="9" s="1"/>
  <c r="Q203" i="9"/>
  <c r="R203" i="9" s="1"/>
  <c r="Q204" i="9"/>
  <c r="R204" i="9" s="1"/>
  <c r="Q205" i="9"/>
  <c r="R205" i="9" s="1"/>
  <c r="Q206" i="9"/>
  <c r="R206" i="9" s="1"/>
  <c r="Q207" i="9"/>
  <c r="R207" i="9" s="1"/>
  <c r="Q208" i="9"/>
  <c r="R208" i="9" s="1"/>
  <c r="Q209" i="9"/>
  <c r="R209" i="9" s="1"/>
  <c r="Q210" i="9"/>
  <c r="R210" i="9" s="1"/>
  <c r="Q211" i="9"/>
  <c r="R211" i="9" s="1"/>
  <c r="Q212" i="9"/>
  <c r="R212" i="9" s="1"/>
  <c r="Q213" i="9"/>
  <c r="R213" i="9" s="1"/>
  <c r="Q214" i="9"/>
  <c r="R214" i="9" s="1"/>
  <c r="Q215" i="9"/>
  <c r="R215" i="9" s="1"/>
  <c r="Q293" i="9" l="1"/>
  <c r="R293" i="9" s="1"/>
  <c r="Q292" i="9"/>
  <c r="R292" i="9" s="1"/>
  <c r="Q291" i="9"/>
  <c r="R291" i="9" s="1"/>
  <c r="Q290" i="9"/>
  <c r="R290" i="9" s="1"/>
  <c r="Q289" i="9"/>
  <c r="R289" i="9" s="1"/>
  <c r="Q288" i="9"/>
  <c r="R288" i="9" s="1"/>
  <c r="Q287" i="9"/>
  <c r="R287" i="9" s="1"/>
  <c r="Q286" i="9"/>
  <c r="R286" i="9" s="1"/>
  <c r="Q285" i="9"/>
  <c r="R285" i="9" s="1"/>
  <c r="Q284" i="9"/>
  <c r="R284" i="9" s="1"/>
  <c r="Q283" i="9"/>
  <c r="R283" i="9" s="1"/>
  <c r="Q282" i="9"/>
  <c r="R282" i="9" s="1"/>
  <c r="Q281" i="9"/>
  <c r="R281" i="9" s="1"/>
  <c r="Q280" i="9"/>
  <c r="R280" i="9" s="1"/>
  <c r="Q279" i="9"/>
  <c r="R279" i="9" s="1"/>
  <c r="Q278" i="9"/>
  <c r="R278" i="9" s="1"/>
  <c r="Q277" i="9"/>
  <c r="R277" i="9" s="1"/>
  <c r="Q276" i="9"/>
  <c r="R276" i="9" s="1"/>
  <c r="Q275" i="9"/>
  <c r="R275" i="9" s="1"/>
  <c r="Q274" i="9"/>
  <c r="R274" i="9" s="1"/>
  <c r="Q273" i="9"/>
  <c r="R273" i="9" s="1"/>
  <c r="Q272" i="9"/>
  <c r="R272" i="9" s="1"/>
  <c r="Q271" i="9"/>
  <c r="R271" i="9" s="1"/>
  <c r="Q270" i="9"/>
  <c r="R270" i="9" s="1"/>
  <c r="Q269" i="9"/>
  <c r="R269" i="9" s="1"/>
  <c r="Q268" i="9"/>
  <c r="R268" i="9" s="1"/>
  <c r="Q267" i="9"/>
  <c r="R267" i="9" s="1"/>
  <c r="Q266" i="9"/>
  <c r="R266" i="9" s="1"/>
  <c r="Q265" i="9"/>
  <c r="R265" i="9" s="1"/>
  <c r="Q264" i="9"/>
  <c r="R264" i="9" s="1"/>
  <c r="Q263" i="9"/>
  <c r="R263" i="9" s="1"/>
  <c r="Q262" i="9"/>
  <c r="R262" i="9" s="1"/>
  <c r="Q261" i="9"/>
  <c r="R261" i="9" s="1"/>
  <c r="Q260" i="9"/>
  <c r="R260" i="9" s="1"/>
  <c r="Q259" i="9"/>
  <c r="R259" i="9" s="1"/>
  <c r="Q258" i="9"/>
  <c r="R258" i="9" s="1"/>
  <c r="Q257" i="9"/>
  <c r="R257" i="9" s="1"/>
  <c r="Q256" i="9"/>
  <c r="R256" i="9" s="1"/>
  <c r="Q255" i="9"/>
  <c r="R255" i="9" s="1"/>
  <c r="Q254" i="9"/>
  <c r="R254" i="9" s="1"/>
  <c r="Q253" i="9"/>
  <c r="R253" i="9" s="1"/>
  <c r="Q252" i="9"/>
  <c r="R252" i="9" s="1"/>
  <c r="Q251" i="9"/>
  <c r="R251" i="9" s="1"/>
  <c r="Q250" i="9"/>
  <c r="R250" i="9" s="1"/>
  <c r="Q249" i="9"/>
  <c r="R249" i="9" s="1"/>
  <c r="Q248" i="9"/>
  <c r="R248" i="9" s="1"/>
  <c r="Q247" i="9"/>
  <c r="R247" i="9" s="1"/>
  <c r="Q246" i="9"/>
  <c r="R246" i="9" s="1"/>
  <c r="Q245" i="9"/>
  <c r="R245" i="9" s="1"/>
  <c r="Q244" i="9"/>
  <c r="R244" i="9" s="1"/>
  <c r="Q243" i="9"/>
  <c r="R243" i="9" s="1"/>
  <c r="Q242" i="9"/>
  <c r="R242" i="9" s="1"/>
  <c r="Q241" i="9"/>
  <c r="R241" i="9" s="1"/>
  <c r="Q240" i="9"/>
  <c r="R240" i="9" s="1"/>
  <c r="Q239" i="9"/>
  <c r="R239" i="9" s="1"/>
  <c r="Q238" i="9"/>
  <c r="R238" i="9" s="1"/>
  <c r="Q237" i="9"/>
  <c r="R237" i="9" s="1"/>
  <c r="Q236" i="9"/>
  <c r="R236" i="9" s="1"/>
  <c r="Q235" i="9"/>
  <c r="R235" i="9" s="1"/>
  <c r="Q234" i="9"/>
  <c r="R234" i="9" s="1"/>
  <c r="Q233" i="9"/>
  <c r="R233" i="9" s="1"/>
  <c r="Q232" i="9"/>
  <c r="R232" i="9" s="1"/>
  <c r="Q231" i="9"/>
  <c r="R231" i="9" s="1"/>
  <c r="Q230" i="9"/>
  <c r="R230" i="9" s="1"/>
  <c r="Q229" i="9"/>
  <c r="R229" i="9" s="1"/>
  <c r="Q228" i="9"/>
  <c r="R228" i="9" s="1"/>
  <c r="Q227" i="9"/>
  <c r="R227" i="9" s="1"/>
  <c r="Q226" i="9"/>
  <c r="R226" i="9" s="1"/>
  <c r="Q225" i="9"/>
  <c r="R225" i="9" s="1"/>
  <c r="Q224" i="9"/>
  <c r="R224" i="9" s="1"/>
  <c r="Q223" i="9"/>
  <c r="R223" i="9" s="1"/>
  <c r="Q222" i="9"/>
  <c r="R222" i="9" s="1"/>
  <c r="Q221" i="9"/>
  <c r="R221" i="9" s="1"/>
  <c r="Q220" i="9"/>
  <c r="R220" i="9" s="1"/>
  <c r="Q219" i="9"/>
  <c r="R219" i="9" s="1"/>
  <c r="Q218" i="9"/>
  <c r="R218" i="9" s="1"/>
  <c r="Q217" i="9"/>
  <c r="R217" i="9" s="1"/>
  <c r="Q216" i="9"/>
  <c r="R216" i="9" s="1"/>
  <c r="Q191" i="9"/>
  <c r="R191" i="9" s="1"/>
  <c r="Q190" i="9"/>
  <c r="R190" i="9" s="1"/>
  <c r="Q189" i="9"/>
  <c r="R189" i="9" s="1"/>
  <c r="Q188" i="9"/>
  <c r="R188" i="9" s="1"/>
  <c r="Q187" i="9"/>
  <c r="R187" i="9" s="1"/>
  <c r="Q186" i="9"/>
  <c r="R186" i="9" s="1"/>
  <c r="Q185" i="9"/>
  <c r="R185" i="9" s="1"/>
  <c r="Q184" i="9"/>
  <c r="R184" i="9" s="1"/>
  <c r="Q183" i="9"/>
  <c r="R183" i="9" s="1"/>
  <c r="Q182" i="9"/>
  <c r="R182" i="9" s="1"/>
  <c r="Q181" i="9"/>
  <c r="R181" i="9" s="1"/>
  <c r="Q180" i="9"/>
  <c r="R180" i="9" s="1"/>
  <c r="Q179" i="9"/>
  <c r="R179" i="9" s="1"/>
  <c r="Q178" i="9"/>
  <c r="R178" i="9" s="1"/>
  <c r="Q177" i="9"/>
  <c r="R177" i="9" s="1"/>
  <c r="Q176" i="9"/>
  <c r="R176" i="9" s="1"/>
  <c r="Q175" i="9"/>
  <c r="R175" i="9" s="1"/>
  <c r="Q174" i="9"/>
  <c r="R174" i="9" s="1"/>
  <c r="Q173" i="9"/>
  <c r="R173" i="9" s="1"/>
  <c r="Q172" i="9"/>
  <c r="R172" i="9" s="1"/>
  <c r="Q171" i="9"/>
  <c r="R171" i="9" s="1"/>
  <c r="Q170" i="9"/>
  <c r="R170" i="9" s="1"/>
  <c r="Q169" i="9"/>
  <c r="R169" i="9" s="1"/>
  <c r="Q168" i="9"/>
  <c r="R168" i="9" s="1"/>
  <c r="Q167" i="9"/>
  <c r="R167" i="9" s="1"/>
  <c r="Q166" i="9"/>
  <c r="R166" i="9" s="1"/>
  <c r="Q165" i="9"/>
  <c r="R165" i="9" s="1"/>
  <c r="Q164" i="9"/>
  <c r="R164" i="9" s="1"/>
  <c r="Q163" i="9"/>
  <c r="R163" i="9" s="1"/>
  <c r="Q162" i="9"/>
  <c r="R162" i="9" s="1"/>
  <c r="Q161" i="9"/>
  <c r="R161" i="9" s="1"/>
  <c r="Q160" i="9"/>
  <c r="R160" i="9" s="1"/>
  <c r="Q159" i="9"/>
  <c r="R159" i="9" s="1"/>
  <c r="Q158" i="9"/>
  <c r="R158" i="9" s="1"/>
  <c r="Q157" i="9"/>
  <c r="R157" i="9" s="1"/>
  <c r="Q156" i="9"/>
  <c r="R156" i="9" s="1"/>
  <c r="Q155" i="9"/>
  <c r="R155" i="9" s="1"/>
  <c r="Q154" i="9"/>
  <c r="R154" i="9" s="1"/>
  <c r="Q153" i="9"/>
  <c r="R153" i="9" s="1"/>
  <c r="Q152" i="9"/>
  <c r="R152" i="9" s="1"/>
  <c r="Q151" i="9"/>
  <c r="R151" i="9" s="1"/>
  <c r="Q150" i="9"/>
  <c r="R150" i="9" s="1"/>
  <c r="Q149" i="9"/>
  <c r="R149" i="9" s="1"/>
  <c r="Q148" i="9"/>
  <c r="R148" i="9" s="1"/>
  <c r="Q147" i="9"/>
  <c r="R147" i="9" s="1"/>
  <c r="Q146" i="9"/>
  <c r="R146" i="9" s="1"/>
  <c r="Q145" i="9"/>
  <c r="R145" i="9" s="1"/>
  <c r="Q144" i="9"/>
  <c r="R144" i="9" s="1"/>
  <c r="Q143" i="9"/>
  <c r="R143" i="9" s="1"/>
  <c r="Q142" i="9"/>
  <c r="R142" i="9" s="1"/>
  <c r="Q141" i="9"/>
  <c r="R141" i="9" s="1"/>
  <c r="Q140" i="9"/>
  <c r="R140" i="9" s="1"/>
  <c r="Q139" i="9"/>
  <c r="R139" i="9" s="1"/>
  <c r="Q138" i="9"/>
  <c r="R138" i="9" s="1"/>
  <c r="M119" i="9"/>
  <c r="M118" i="9"/>
  <c r="Q128" i="9"/>
  <c r="R128" i="9" s="1"/>
  <c r="Q133" i="9"/>
  <c r="R133" i="9" s="1"/>
  <c r="Q122" i="9"/>
  <c r="R122" i="9" s="1"/>
  <c r="M122" i="9"/>
  <c r="Q127" i="9"/>
  <c r="R127" i="9" s="1"/>
  <c r="Q132" i="9"/>
  <c r="R132" i="9" s="1"/>
  <c r="Q137" i="9"/>
  <c r="R137" i="9" s="1"/>
  <c r="Q121" i="9"/>
  <c r="R121" i="9" s="1"/>
  <c r="M121" i="9"/>
  <c r="Q126" i="9"/>
  <c r="R126" i="9" s="1"/>
  <c r="Q131" i="9"/>
  <c r="R131" i="9" s="1"/>
  <c r="Q136" i="9"/>
  <c r="R136" i="9" s="1"/>
  <c r="Q125" i="9"/>
  <c r="R125" i="9" s="1"/>
  <c r="Q130" i="9"/>
  <c r="R130" i="9" s="1"/>
  <c r="Q129" i="9"/>
  <c r="R129" i="9" s="1"/>
  <c r="Q124" i="9"/>
  <c r="R124" i="9" s="1"/>
  <c r="Q119" i="9"/>
  <c r="R119" i="9" s="1"/>
  <c r="Q118" i="9"/>
  <c r="R118" i="9" s="1"/>
  <c r="Q123" i="9"/>
  <c r="R123" i="9" s="1"/>
  <c r="Q120" i="9"/>
  <c r="K25" i="11" l="1"/>
  <c r="I25" i="11"/>
  <c r="I55" i="11" s="1"/>
  <c r="G25" i="11"/>
  <c r="G27" i="11" s="1"/>
  <c r="AO20" i="11"/>
  <c r="AQ20" i="11"/>
  <c r="AS20" i="11"/>
  <c r="AM20" i="11"/>
  <c r="Q2" i="9"/>
  <c r="R2" i="9" s="1"/>
  <c r="Q3" i="9"/>
  <c r="R3" i="9" s="1"/>
  <c r="Q4" i="9"/>
  <c r="R4" i="9" s="1"/>
  <c r="Q5" i="9"/>
  <c r="R5" i="9" s="1"/>
  <c r="Q6" i="9"/>
  <c r="R6" i="9" s="1"/>
  <c r="Q7" i="9"/>
  <c r="R7" i="9" s="1"/>
  <c r="Q8" i="9"/>
  <c r="R8" i="9" s="1"/>
  <c r="Q9" i="9"/>
  <c r="R9" i="9" s="1"/>
  <c r="Q10" i="9"/>
  <c r="R10" i="9" s="1"/>
  <c r="Q11" i="9"/>
  <c r="R11" i="9" s="1"/>
  <c r="Q12" i="9"/>
  <c r="R12" i="9" s="1"/>
  <c r="Q13" i="9"/>
  <c r="R13" i="9" s="1"/>
  <c r="Q14" i="9"/>
  <c r="R14" i="9" s="1"/>
  <c r="Q15" i="9"/>
  <c r="R15" i="9" s="1"/>
  <c r="Q16" i="9"/>
  <c r="R16" i="9" s="1"/>
  <c r="Q17" i="9"/>
  <c r="R17" i="9" s="1"/>
  <c r="Q18" i="9"/>
  <c r="R18" i="9" s="1"/>
  <c r="Q19" i="9"/>
  <c r="R19" i="9" s="1"/>
  <c r="Q20" i="9"/>
  <c r="R20" i="9" s="1"/>
  <c r="Q21" i="9"/>
  <c r="R21" i="9" s="1"/>
  <c r="Q46" i="9"/>
  <c r="R46" i="9" s="1"/>
  <c r="Q23" i="9"/>
  <c r="R23" i="9" s="1"/>
  <c r="Q22" i="9"/>
  <c r="R22" i="9" s="1"/>
  <c r="Q47" i="9"/>
  <c r="R47" i="9" s="1"/>
  <c r="Q44" i="9"/>
  <c r="R44" i="9" s="1"/>
  <c r="Q42" i="9"/>
  <c r="R42" i="9" s="1"/>
  <c r="Q36" i="9"/>
  <c r="R36" i="9" s="1"/>
  <c r="Q34" i="9"/>
  <c r="R34" i="9" s="1"/>
  <c r="Q28" i="9"/>
  <c r="R28" i="9" s="1"/>
  <c r="Q26" i="9"/>
  <c r="R26" i="9" s="1"/>
  <c r="Q30" i="9"/>
  <c r="R30" i="9" s="1"/>
  <c r="Q32" i="9"/>
  <c r="R32" i="9" s="1"/>
  <c r="Q38" i="9"/>
  <c r="R38" i="9" s="1"/>
  <c r="Q25" i="9"/>
  <c r="R25" i="9" s="1"/>
  <c r="Q29" i="9"/>
  <c r="R29" i="9" s="1"/>
  <c r="Q33" i="9"/>
  <c r="R33" i="9" s="1"/>
  <c r="Q24" i="9"/>
  <c r="R24" i="9" s="1"/>
  <c r="Q37" i="9"/>
  <c r="R37" i="9" s="1"/>
  <c r="Q43" i="9"/>
  <c r="R43" i="9" s="1"/>
  <c r="Q35" i="9"/>
  <c r="R35" i="9" s="1"/>
  <c r="Q27" i="9"/>
  <c r="R27" i="9" s="1"/>
  <c r="Q31" i="9"/>
  <c r="R31" i="9" s="1"/>
  <c r="Q40" i="9"/>
  <c r="R40" i="9" s="1"/>
  <c r="Q39" i="9"/>
  <c r="R39" i="9" s="1"/>
  <c r="Q45" i="9"/>
  <c r="R45" i="9" s="1"/>
  <c r="Q48" i="9"/>
  <c r="R48" i="9" s="1"/>
  <c r="Q41" i="9"/>
  <c r="R41" i="9" s="1"/>
  <c r="Q49" i="9"/>
  <c r="R49" i="9" s="1"/>
  <c r="Q50" i="9"/>
  <c r="R50" i="9" s="1"/>
  <c r="Q51" i="9"/>
  <c r="R51" i="9" s="1"/>
  <c r="Q52" i="9"/>
  <c r="R52" i="9" s="1"/>
  <c r="Q53" i="9"/>
  <c r="R53" i="9" s="1"/>
  <c r="Q54" i="9"/>
  <c r="R54" i="9" s="1"/>
  <c r="Q55" i="9"/>
  <c r="R55" i="9" s="1"/>
  <c r="Q56" i="9"/>
  <c r="R56" i="9" s="1"/>
  <c r="Q57" i="9"/>
  <c r="R57" i="9" s="1"/>
  <c r="Q58" i="9"/>
  <c r="R58" i="9" s="1"/>
  <c r="Q59" i="9"/>
  <c r="R59" i="9" s="1"/>
  <c r="Q60" i="9"/>
  <c r="R60" i="9" s="1"/>
  <c r="Q61" i="9"/>
  <c r="R61" i="9" s="1"/>
  <c r="Q62" i="9"/>
  <c r="R62" i="9" s="1"/>
  <c r="Q63" i="9"/>
  <c r="R63" i="9" s="1"/>
  <c r="Q64" i="9"/>
  <c r="R64" i="9" s="1"/>
  <c r="Q65" i="9"/>
  <c r="R65" i="9" s="1"/>
  <c r="Q66" i="9"/>
  <c r="R66" i="9" s="1"/>
  <c r="Q67" i="9"/>
  <c r="R67" i="9" s="1"/>
  <c r="Q68" i="9"/>
  <c r="R68" i="9" s="1"/>
  <c r="Q69" i="9"/>
  <c r="R69" i="9" s="1"/>
  <c r="Q134" i="9"/>
  <c r="R134" i="9" s="1"/>
  <c r="Q70" i="9"/>
  <c r="R70" i="9" s="1"/>
  <c r="Q71" i="9"/>
  <c r="R71" i="9" s="1"/>
  <c r="Q72" i="9"/>
  <c r="R72" i="9" s="1"/>
  <c r="Q73" i="9"/>
  <c r="R73" i="9" s="1"/>
  <c r="Q74" i="9"/>
  <c r="R74" i="9" s="1"/>
  <c r="Q75" i="9"/>
  <c r="R75" i="9" s="1"/>
  <c r="Q76" i="9"/>
  <c r="R76" i="9" s="1"/>
  <c r="Q77" i="9"/>
  <c r="R77" i="9" s="1"/>
  <c r="Q78" i="9"/>
  <c r="R78" i="9" s="1"/>
  <c r="Q79" i="9"/>
  <c r="R79" i="9" s="1"/>
  <c r="Q80" i="9"/>
  <c r="R80" i="9" s="1"/>
  <c r="Q81" i="9"/>
  <c r="R81" i="9" s="1"/>
  <c r="Q82" i="9"/>
  <c r="R82" i="9" s="1"/>
  <c r="Q83" i="9"/>
  <c r="R83" i="9" s="1"/>
  <c r="Q84" i="9"/>
  <c r="R84" i="9" s="1"/>
  <c r="Q85" i="9"/>
  <c r="R85" i="9" s="1"/>
  <c r="Q86" i="9"/>
  <c r="R86" i="9" s="1"/>
  <c r="Q87" i="9"/>
  <c r="R87" i="9" s="1"/>
  <c r="Q88" i="9"/>
  <c r="R88" i="9" s="1"/>
  <c r="Q89" i="9"/>
  <c r="R89" i="9" s="1"/>
  <c r="Q115" i="9"/>
  <c r="R115" i="9" s="1"/>
  <c r="Q94" i="9"/>
  <c r="R94" i="9" s="1"/>
  <c r="Q114" i="9"/>
  <c r="R114" i="9" s="1"/>
  <c r="Q92" i="9"/>
  <c r="R92" i="9" s="1"/>
  <c r="Q91" i="9"/>
  <c r="R91" i="9" s="1"/>
  <c r="Q104" i="9"/>
  <c r="R104" i="9" s="1"/>
  <c r="Q99" i="9"/>
  <c r="R99" i="9" s="1"/>
  <c r="Q90" i="9"/>
  <c r="R90" i="9" s="1"/>
  <c r="Q112" i="9"/>
  <c r="R112" i="9" s="1"/>
  <c r="Q98" i="9"/>
  <c r="R98" i="9" s="1"/>
  <c r="Q113" i="9"/>
  <c r="R113" i="9" s="1"/>
  <c r="Q110" i="9"/>
  <c r="R110" i="9" s="1"/>
  <c r="Q117" i="9"/>
  <c r="R117" i="9" s="1"/>
  <c r="Q106" i="9"/>
  <c r="R106" i="9" s="1"/>
  <c r="Q102" i="9"/>
  <c r="R102" i="9" s="1"/>
  <c r="Q107" i="9"/>
  <c r="R107" i="9" s="1"/>
  <c r="Q96" i="9"/>
  <c r="R96" i="9" s="1"/>
  <c r="Q93" i="9"/>
  <c r="R93" i="9" s="1"/>
  <c r="Q111" i="9"/>
  <c r="R111" i="9" s="1"/>
  <c r="Q105" i="9"/>
  <c r="R105" i="9" s="1"/>
  <c r="Q97" i="9"/>
  <c r="R97" i="9" s="1"/>
  <c r="Q101" i="9"/>
  <c r="R101" i="9" s="1"/>
  <c r="Q103" i="9"/>
  <c r="R103" i="9" s="1"/>
  <c r="Q100" i="9"/>
  <c r="R100" i="9" s="1"/>
  <c r="Q109" i="9"/>
  <c r="R109" i="9" s="1"/>
  <c r="Q116" i="9"/>
  <c r="R116" i="9" s="1"/>
  <c r="Q95" i="9"/>
  <c r="R95" i="9" s="1"/>
  <c r="Q108" i="9"/>
  <c r="R108" i="9" s="1"/>
  <c r="Q135" i="9"/>
  <c r="R135" i="9" s="1"/>
  <c r="R120" i="9"/>
  <c r="AS15" i="11"/>
  <c r="AO15" i="11"/>
  <c r="AQ15" i="11"/>
  <c r="AM15" i="11"/>
  <c r="AQ5" i="11"/>
  <c r="AQ11" i="11" s="1" a="1"/>
  <c r="AQ11" i="11" s="1"/>
  <c r="AO10" i="11"/>
  <c r="AQ10" i="11"/>
  <c r="AS10" i="11"/>
  <c r="AM10" i="11"/>
  <c r="AS5" i="11"/>
  <c r="AO5" i="11"/>
  <c r="AM5" i="11"/>
  <c r="AM11" i="11" s="1" a="1"/>
  <c r="AM11" i="11" s="1"/>
  <c r="AS4" i="11"/>
  <c r="AS6" i="11" s="1" a="1"/>
  <c r="AQ4" i="11"/>
  <c r="AQ6" i="11" s="1" a="1"/>
  <c r="AQ6" i="11" s="1"/>
  <c r="AO4" i="11"/>
  <c r="AO6" i="11" s="1" a="1"/>
  <c r="AM4" i="11"/>
  <c r="AM6" i="11" s="1" a="1"/>
  <c r="AM6" i="11" s="1"/>
  <c r="G40" i="11" l="1"/>
  <c r="G36" i="11"/>
  <c r="G32" i="11"/>
  <c r="G28" i="11"/>
  <c r="G39" i="11"/>
  <c r="G35" i="11"/>
  <c r="G31" i="11"/>
  <c r="I40" i="11"/>
  <c r="I36" i="11"/>
  <c r="I32" i="11"/>
  <c r="I28" i="11"/>
  <c r="I39" i="11"/>
  <c r="I35" i="11"/>
  <c r="I31" i="11"/>
  <c r="I27" i="11"/>
  <c r="K40" i="11"/>
  <c r="K36" i="11"/>
  <c r="K32" i="11"/>
  <c r="K28" i="11"/>
  <c r="K39" i="11"/>
  <c r="K35" i="11"/>
  <c r="K31" i="11"/>
  <c r="K27" i="11"/>
  <c r="AS6" i="11"/>
  <c r="AO6" i="11"/>
  <c r="K49" i="11"/>
  <c r="K51" i="11"/>
  <c r="K53" i="11"/>
  <c r="K52" i="11"/>
  <c r="K54" i="11"/>
  <c r="K50" i="11"/>
  <c r="K47" i="11"/>
  <c r="I52" i="11"/>
  <c r="I49" i="11"/>
  <c r="I51" i="11"/>
  <c r="I53" i="11"/>
  <c r="I54" i="11"/>
  <c r="I50" i="11"/>
  <c r="I47" i="11"/>
  <c r="G50" i="11"/>
  <c r="G54" i="11"/>
  <c r="G51" i="11"/>
  <c r="G49" i="11"/>
  <c r="G53" i="11"/>
  <c r="G52" i="11"/>
  <c r="G47" i="11"/>
  <c r="E53" i="11"/>
  <c r="E50" i="11"/>
  <c r="E52" i="11"/>
  <c r="E51" i="11"/>
  <c r="E47" i="11"/>
  <c r="AQ14" i="11"/>
  <c r="AQ19" i="11" s="1"/>
  <c r="AQ25" i="11" s="1" a="1"/>
  <c r="AQ25" i="11" s="1"/>
  <c r="AM14" i="11"/>
  <c r="AM16" i="11" s="1" a="1"/>
  <c r="AM16" i="11" s="1"/>
  <c r="AO14" i="11"/>
  <c r="AO19" i="11" s="1"/>
  <c r="AO25" i="11" s="1" a="1"/>
  <c r="AO25" i="11" s="1"/>
  <c r="AS14" i="11"/>
  <c r="AS19" i="11" s="1"/>
  <c r="AS25" i="11" s="1" a="1"/>
  <c r="AS25" i="11" s="1"/>
  <c r="AO11" i="11" a="1"/>
  <c r="AO11" i="11" s="1"/>
  <c r="AS11" i="11" a="1"/>
  <c r="AS11" i="11" s="1"/>
  <c r="A4" i="4" a="1"/>
  <c r="AM19" i="11" l="1"/>
  <c r="AM25" i="11" s="1" a="1"/>
  <c r="AM25" i="11" s="1"/>
  <c r="O27" i="11"/>
  <c r="O35" i="11"/>
  <c r="O36" i="11"/>
  <c r="O28" i="11"/>
  <c r="O39" i="11"/>
  <c r="O40" i="11"/>
  <c r="O31" i="11"/>
  <c r="O32" i="11"/>
  <c r="O47" i="11"/>
  <c r="AQ16" i="11" a="1"/>
  <c r="AO16" i="11" a="1"/>
  <c r="AS16" i="11" a="1"/>
  <c r="C8" i="4"/>
  <c r="I8" i="4" s="1"/>
  <c r="I9" i="4" s="1" a="1"/>
  <c r="I9" i="4" s="1"/>
  <c r="C24" i="4"/>
  <c r="I24" i="4" s="1"/>
  <c r="I25" i="4" s="1" a="1"/>
  <c r="I25" i="4" s="1"/>
  <c r="A4" i="4"/>
  <c r="AO16" i="11" l="1"/>
  <c r="AS16" i="11"/>
  <c r="AQ16" i="11"/>
  <c r="C25" i="4" a="1"/>
  <c r="C25" i="4" s="1"/>
  <c r="G24" i="4"/>
  <c r="G25" i="4" s="1" a="1"/>
  <c r="G25" i="4" s="1"/>
  <c r="C9" i="4" a="1"/>
  <c r="C9" i="4" s="1"/>
  <c r="G8" i="4"/>
  <c r="G9" i="4" s="1" a="1"/>
  <c r="G9" i="4" s="1"/>
  <c r="C3" i="4"/>
  <c r="G4" i="4" s="1" a="1"/>
  <c r="G4" i="4" s="1"/>
  <c r="G3" i="4" l="1"/>
  <c r="I3" i="4"/>
  <c r="I4" i="4" s="1" a="1"/>
  <c r="I4" i="4" s="1"/>
  <c r="C4" i="4" a="1"/>
  <c r="C4"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<sst xmlns="http://schemas.openxmlformats.org/spreadsheetml/2006/main" count="4114" uniqueCount="343">
  <si>
    <t>Zones liste déroulante</t>
  </si>
  <si>
    <t>Zones à encoder</t>
  </si>
  <si>
    <t xml:space="preserve">Résultats </t>
  </si>
  <si>
    <t xml:space="preserve">Interface utilisateur </t>
  </si>
  <si>
    <t>ZONES DE LISTES AUTOMATIQUES</t>
  </si>
  <si>
    <t xml:space="preserve">Intermodalité </t>
  </si>
  <si>
    <t xml:space="preserve">Type de transport </t>
  </si>
  <si>
    <t>Sélection</t>
  </si>
  <si>
    <t xml:space="preserve">Ferroviaire </t>
  </si>
  <si>
    <t xml:space="preserve">Routier </t>
  </si>
  <si>
    <t>Voie de transport</t>
  </si>
  <si>
    <t>liste voie transport</t>
  </si>
  <si>
    <t xml:space="preserve">Voie de Transport </t>
  </si>
  <si>
    <t xml:space="preserve">Chemin de fer </t>
  </si>
  <si>
    <t>Urbain</t>
  </si>
  <si>
    <t>Vrac</t>
  </si>
  <si>
    <t>conteneur</t>
  </si>
  <si>
    <t xml:space="preserve">Type de fret </t>
  </si>
  <si>
    <t>Densité de chargement</t>
  </si>
  <si>
    <t>Moyen</t>
  </si>
  <si>
    <t>liste type fret</t>
  </si>
  <si>
    <t>Type de véhicule</t>
  </si>
  <si>
    <t>Traction électrique</t>
  </si>
  <si>
    <t>Monobloc  &lt;10 t</t>
  </si>
  <si>
    <t>Voie X Fret</t>
  </si>
  <si>
    <t>Electricité</t>
  </si>
  <si>
    <t>Diesel</t>
  </si>
  <si>
    <t xml:space="preserve">Densité de chargement </t>
  </si>
  <si>
    <t>liste densité</t>
  </si>
  <si>
    <t>Distance parcourue (km)</t>
  </si>
  <si>
    <t xml:space="preserve">Masse du chargement (t) </t>
  </si>
  <si>
    <t>Voie X Fret X densité</t>
  </si>
  <si>
    <t>Transport Tonnes*km</t>
  </si>
  <si>
    <t>listeTypeVeh</t>
  </si>
  <si>
    <t>Directe</t>
  </si>
  <si>
    <t>Indirecte</t>
  </si>
  <si>
    <t>indirecte</t>
  </si>
  <si>
    <t>Coûts totaux</t>
  </si>
  <si>
    <t>Accidents</t>
  </si>
  <si>
    <t>Bruit</t>
  </si>
  <si>
    <t>Pollution de l'air</t>
  </si>
  <si>
    <t>Changements climatiques</t>
  </si>
  <si>
    <t>Effets de coupure</t>
  </si>
  <si>
    <t>Effets en amont</t>
  </si>
  <si>
    <t>Taille</t>
  </si>
  <si>
    <t>Mj/tkm</t>
  </si>
  <si>
    <t>Type emissions</t>
  </si>
  <si>
    <t xml:space="preserve">CO2-eq. </t>
  </si>
  <si>
    <t xml:space="preserve">SO2 </t>
  </si>
  <si>
    <t>PM10</t>
  </si>
  <si>
    <t xml:space="preserve">NOx </t>
  </si>
  <si>
    <t xml:space="preserve">source </t>
  </si>
  <si>
    <t>Fluvial</t>
  </si>
  <si>
    <t>Voie navigable Va</t>
  </si>
  <si>
    <t>Conteneur</t>
  </si>
  <si>
    <t xml:space="preserve">110m (2 couches) </t>
  </si>
  <si>
    <t>NA</t>
  </si>
  <si>
    <t>régression linéaire ICEDD</t>
  </si>
  <si>
    <t xml:space="preserve">110m (3 couches) </t>
  </si>
  <si>
    <t xml:space="preserve">110m + barge (2 couches) </t>
  </si>
  <si>
    <t xml:space="preserve">110m + barge (3 couches) </t>
  </si>
  <si>
    <t>RHK (Rhine-Herne canal )</t>
  </si>
  <si>
    <t>Voie navigable VIb</t>
  </si>
  <si>
    <t>Léger</t>
  </si>
  <si>
    <t>Campinois</t>
  </si>
  <si>
    <t>Stream</t>
  </si>
  <si>
    <t>stream</t>
  </si>
  <si>
    <t>Convoi poussé</t>
  </si>
  <si>
    <t>DEK (Dortmund-Ems-Kanal)</t>
  </si>
  <si>
    <t xml:space="preserve">Grand Rhénan </t>
  </si>
  <si>
    <t>Petit Rhénan</t>
  </si>
  <si>
    <t>Spits</t>
  </si>
  <si>
    <t>Lourd</t>
  </si>
  <si>
    <t xml:space="preserve">consommation énergétique source GLEC -facteurs emissions stream </t>
  </si>
  <si>
    <t>STREAM</t>
  </si>
  <si>
    <t xml:space="preserve">Traction diesel </t>
  </si>
  <si>
    <t>directe</t>
  </si>
  <si>
    <t>Rural</t>
  </si>
  <si>
    <t>Utilitaire léger (&lt;3.5t)</t>
  </si>
  <si>
    <t xml:space="preserve">STREAM </t>
  </si>
  <si>
    <t>Autoroute</t>
  </si>
  <si>
    <t xml:space="preserve">Monobloc 10-20 t </t>
  </si>
  <si>
    <t xml:space="preserve">Monobloc &gt;20 t </t>
  </si>
  <si>
    <t>Camion remorque 10-20 t</t>
  </si>
  <si>
    <t>Camion remorque &gt;20 t</t>
  </si>
  <si>
    <t xml:space="preserve">Semi-remorque, leger   </t>
  </si>
  <si>
    <t xml:space="preserve">Semi-remorque, lourd  </t>
  </si>
  <si>
    <t xml:space="preserve">Eco-combi </t>
  </si>
  <si>
    <t>Coûts externes unitaires* pour le transport de marchandises par types de véhicules** en Wallonie (2019)</t>
  </si>
  <si>
    <t>Valeurs absolues (c€/t-km)</t>
  </si>
  <si>
    <t>Routier</t>
  </si>
  <si>
    <t>Pollution de l'air***</t>
  </si>
  <si>
    <t>Changements climatiques***</t>
  </si>
  <si>
    <t>Effets de coupure****</t>
  </si>
  <si>
    <t>Effets en amont*****</t>
  </si>
  <si>
    <t>Total</t>
  </si>
  <si>
    <t>* Les coûts externes unitaires correspondent aux coûts externes totaux rapporté à l'unité (tonne-km).</t>
  </si>
  <si>
    <t>** Véhicules utilitaires légers non compris. Le passage des coûts externes totaux aux coûts externes unitaires dépend en grande partie du taux de chargement de ce type de véhicule, un paramètre peu étudié.</t>
  </si>
  <si>
    <t>*** Seules sont considérées les émissions directes</t>
  </si>
  <si>
    <t>**** Les effets de coupure correspondent aux obstacles que constituent les infrastructures de transports, ceux-ci ayant des conséquences tant sur la biodiversité que sur l’activité humaine.</t>
  </si>
  <si>
    <t>***** Les effets en amont sont liés aux émissions indirectes produites à toutes les étapes des processus de production et de mise à disposition de l’énergie avant sa consommation.</t>
  </si>
  <si>
    <t>Ils permettent notamment de prendre en comptes les émissions liées à la production d’électricité pour les véhicules électriques</t>
  </si>
  <si>
    <t xml:space="preserve">﻿Spits </t>
  </si>
  <si>
    <t>convoi poussé</t>
  </si>
  <si>
    <t>RHK</t>
  </si>
  <si>
    <t>FILTRE</t>
  </si>
  <si>
    <t>Ferroviaire</t>
  </si>
  <si>
    <t>Unité</t>
  </si>
  <si>
    <t>L</t>
  </si>
  <si>
    <t xml:space="preserve">Essence </t>
  </si>
  <si>
    <t xml:space="preserve">GNL </t>
  </si>
  <si>
    <t>GNC</t>
  </si>
  <si>
    <t>Hydrogène</t>
  </si>
  <si>
    <t xml:space="preserve">Conteneur </t>
  </si>
  <si>
    <t xml:space="preserve">Capacité de charge (t) </t>
  </si>
  <si>
    <t xml:space="preserve"> </t>
  </si>
  <si>
    <t>Campine</t>
  </si>
  <si>
    <t>DEK</t>
  </si>
  <si>
    <t>vrac</t>
  </si>
  <si>
    <t xml:space="preserve">Scénario full routier </t>
  </si>
  <si>
    <t>Tot.</t>
  </si>
  <si>
    <t xml:space="preserve">Densité chargement </t>
  </si>
  <si>
    <t>voie navigable</t>
  </si>
  <si>
    <t xml:space="preserve">bateau </t>
  </si>
  <si>
    <t>TEU</t>
  </si>
  <si>
    <t>consommation énergétique (MJ/tkm)</t>
  </si>
  <si>
    <t xml:space="preserve">valable en wallonie </t>
  </si>
  <si>
    <t>lourd</t>
  </si>
  <si>
    <t xml:space="preserve">CEMT VIb </t>
  </si>
  <si>
    <t xml:space="preserve">Coupled: Europa II-C3l (348 TEU) </t>
  </si>
  <si>
    <t xml:space="preserve">﻿Europa IIa push convoy (160 TEU) </t>
  </si>
  <si>
    <t xml:space="preserve">Extended Large Rhine vessel (272 TEU) </t>
  </si>
  <si>
    <t xml:space="preserve">Large Rhine vessel (208 TEU) </t>
  </si>
  <si>
    <t xml:space="preserve">﻿Neo Kemp </t>
  </si>
  <si>
    <t xml:space="preserve">Rhine-Herne canal vessel (96 TEU) </t>
  </si>
  <si>
    <t xml:space="preserve">Rhinemax vessel (398-470 TEU) </t>
  </si>
  <si>
    <t>moyen</t>
  </si>
  <si>
    <t xml:space="preserve">CEMT Va </t>
  </si>
  <si>
    <t>y = -7E-05x + 0,367</t>
  </si>
  <si>
    <t>CEMT Vib</t>
  </si>
  <si>
    <t>y = -2E-05x + 0,3941</t>
  </si>
  <si>
    <t>leger</t>
  </si>
  <si>
    <t>y = -3E-05x + 0,5126</t>
  </si>
  <si>
    <t>y = -8E-05x + 0,4622</t>
  </si>
  <si>
    <t xml:space="preserve">conteneur </t>
  </si>
  <si>
    <t xml:space="preserve">moyen </t>
  </si>
  <si>
    <t>y = -8E-05x + 0,4585</t>
  </si>
  <si>
    <t>y = -7E-05x + 0,5552</t>
  </si>
  <si>
    <t>y = -0,0002x + 0,6485</t>
  </si>
  <si>
    <t>y = -0,0002x + 0,8214</t>
  </si>
  <si>
    <t>y = -4E-05x + 0,46</t>
  </si>
  <si>
    <t>y = -5E-05x + 0,3903</t>
  </si>
  <si>
    <t xml:space="preserve">4-barge push convoy </t>
  </si>
  <si>
    <t xml:space="preserve">﻿4-barge push convoy </t>
  </si>
  <si>
    <t>6-barge push convoy, wide</t>
  </si>
  <si>
    <t xml:space="preserve">6-barge push convoy, wide </t>
  </si>
  <si>
    <t xml:space="preserve">Europa IIa push convoy (160 TEU) </t>
  </si>
  <si>
    <t>grand Rhénan</t>
  </si>
  <si>
    <t xml:space="preserve">﻿Neo Kemp (32-48 TEU) </t>
  </si>
  <si>
    <t>petit Rhénan</t>
  </si>
  <si>
    <t xml:space="preserve">RHK </t>
  </si>
  <si>
    <t xml:space="preserve">Régressions linéaires réalisées dans le cadre des données fluviales </t>
  </si>
  <si>
    <t xml:space="preserve">1. Tableau des données disponibles </t>
  </si>
  <si>
    <t>2. Graphique d'acquisition de l'équation de regression linéaire</t>
  </si>
  <si>
    <t xml:space="preserve">3. Equations utilisées </t>
  </si>
  <si>
    <t>Equation</t>
  </si>
  <si>
    <t>Infos encodées</t>
  </si>
  <si>
    <t>Ademe</t>
  </si>
  <si>
    <t>Combustion kg C02eq/L</t>
  </si>
  <si>
    <t>amont kg C02eq/L</t>
  </si>
  <si>
    <t>Gazole routier (B10)</t>
  </si>
  <si>
    <t>Gazole routier (B100)</t>
  </si>
  <si>
    <t>Gazole routier (B7)</t>
  </si>
  <si>
    <t>Combustion kg C02eq/m3</t>
  </si>
  <si>
    <t>amont kg C02eq/m3</t>
  </si>
  <si>
    <t xml:space="preserve">GPL routier </t>
  </si>
  <si>
    <t xml:space="preserve">biodiesel </t>
  </si>
  <si>
    <t>bioethanol</t>
  </si>
  <si>
    <t xml:space="preserve">BIOCNG routier </t>
  </si>
  <si>
    <t>HFO</t>
  </si>
  <si>
    <t>-</t>
  </si>
  <si>
    <t xml:space="preserve">﻿Fuel </t>
  </si>
  <si>
    <t xml:space="preserve">Application </t>
  </si>
  <si>
    <t xml:space="preserve">Density  (kg/litre) </t>
  </si>
  <si>
    <t xml:space="preserve">Cal. value (MJ/kg) </t>
  </si>
  <si>
    <t xml:space="preserve">CO2 </t>
  </si>
  <si>
    <t xml:space="preserve">PM  </t>
  </si>
  <si>
    <t>SO2</t>
  </si>
  <si>
    <t xml:space="preserve">(various) </t>
  </si>
  <si>
    <t xml:space="preserve"> NG </t>
  </si>
  <si>
    <t xml:space="preserve">- </t>
  </si>
  <si>
    <t xml:space="preserve">Vans </t>
  </si>
  <si>
    <t xml:space="preserve">Trucks </t>
  </si>
  <si>
    <t xml:space="preserve">Inland shipping </t>
  </si>
  <si>
    <t xml:space="preserve">Rail </t>
  </si>
  <si>
    <t xml:space="preserve">Road (low-voltage) </t>
  </si>
  <si>
    <t xml:space="preserve"> - </t>
  </si>
  <si>
    <t>﻿Cars</t>
  </si>
  <si>
    <t xml:space="preserve">﻿CO2-eq. </t>
  </si>
  <si>
    <t>Combustion TTW (g/MJ)</t>
  </si>
  <si>
    <t xml:space="preserve">AMONT WTT (g/MJ) </t>
  </si>
  <si>
    <t xml:space="preserve">﻿Road/rail (med.-voltage) </t>
  </si>
  <si>
    <t xml:space="preserve">﻿Petrol (fossil) </t>
  </si>
  <si>
    <t xml:space="preserve">Petrol substitutes (av.) </t>
  </si>
  <si>
    <t xml:space="preserve">Vans (blend, 4% bio) </t>
  </si>
  <si>
    <t xml:space="preserve">Inland/maritime shipping </t>
  </si>
  <si>
    <t xml:space="preserve">Fuel cell </t>
  </si>
  <si>
    <t xml:space="preserve">Green electr. c </t>
  </si>
  <si>
    <t xml:space="preserve">Battery </t>
  </si>
  <si>
    <t xml:space="preserve">Green electr., no biomass d </t>
  </si>
  <si>
    <t>petrol</t>
  </si>
  <si>
    <t xml:space="preserve">﻿Vans </t>
  </si>
  <si>
    <t>LPG</t>
  </si>
  <si>
    <t xml:space="preserve">﻿Trucks </t>
  </si>
  <si>
    <t>CNG</t>
  </si>
  <si>
    <t>HVO</t>
  </si>
  <si>
    <t>BIOCNG</t>
  </si>
  <si>
    <t xml:space="preserve">N,a, </t>
  </si>
  <si>
    <t xml:space="preserve">29,40e </t>
  </si>
  <si>
    <t xml:space="preserve">20,86e </t>
  </si>
  <si>
    <t xml:space="preserve">﻿Road </t>
  </si>
  <si>
    <t>Inland</t>
  </si>
  <si>
    <t>LNG</t>
  </si>
  <si>
    <t>GTL</t>
  </si>
  <si>
    <t xml:space="preserve">unité </t>
  </si>
  <si>
    <t>Carburant</t>
  </si>
  <si>
    <t>Type d'émissions</t>
  </si>
  <si>
    <t>g/l</t>
  </si>
  <si>
    <t>g/tkm</t>
  </si>
  <si>
    <t>routier</t>
  </si>
  <si>
    <t>Diesel - tous</t>
  </si>
  <si>
    <t>Biodiesel - tous</t>
  </si>
  <si>
    <t xml:space="preserve">Diesel - routier </t>
  </si>
  <si>
    <t>Diesel - fluvial</t>
  </si>
  <si>
    <t>Diesel - ferroviaire</t>
  </si>
  <si>
    <t>Electricité - voltage moyen</t>
  </si>
  <si>
    <t>electricity - voltage bas</t>
  </si>
  <si>
    <t>LPG - routier</t>
  </si>
  <si>
    <t xml:space="preserve">HVO - routier </t>
  </si>
  <si>
    <t>HVO- fluvial</t>
  </si>
  <si>
    <t>CNG-routier</t>
  </si>
  <si>
    <t>BIOCNG-routier</t>
  </si>
  <si>
    <t>LNG-routier</t>
  </si>
  <si>
    <t>LNG-fluvial</t>
  </si>
  <si>
    <t>BIOLNG-routier</t>
  </si>
  <si>
    <t>BIOLNG-fluvial</t>
  </si>
  <si>
    <t>GTL-routier</t>
  </si>
  <si>
    <t>GTL-fluvial</t>
  </si>
  <si>
    <t xml:space="preserve">﻿Hydrogéne </t>
  </si>
  <si>
    <t xml:space="preserve">Bio-hydrogéne </t>
  </si>
  <si>
    <t>tous</t>
  </si>
  <si>
    <t>fluvial</t>
  </si>
  <si>
    <t>ferroviaire</t>
  </si>
  <si>
    <t xml:space="preserve">Diesel </t>
  </si>
  <si>
    <t xml:space="preserve">Electricité </t>
  </si>
  <si>
    <t>voltage moyen (routier + ferroviaire)</t>
  </si>
  <si>
    <t>voltage haut (routier)</t>
  </si>
  <si>
    <t xml:space="preserve">LPG </t>
  </si>
  <si>
    <t xml:space="preserve">HVO </t>
  </si>
  <si>
    <t>SO2 (g)</t>
  </si>
  <si>
    <t>PM10 (g)</t>
  </si>
  <si>
    <t>CO2eq (Kg)</t>
  </si>
  <si>
    <t>N0x (g)</t>
  </si>
  <si>
    <t>Type de combustibles</t>
  </si>
  <si>
    <t>BIO-LNG</t>
  </si>
  <si>
    <t>g/kwh</t>
  </si>
  <si>
    <t>BIO-CNG</t>
  </si>
  <si>
    <t>Bioethanol</t>
  </si>
  <si>
    <t xml:space="preserve">source données émissions </t>
  </si>
  <si>
    <t xml:space="preserve">% trajet à vide </t>
  </si>
  <si>
    <t xml:space="preserve">Source </t>
  </si>
  <si>
    <t>Container</t>
  </si>
  <si>
    <t>Capacité charge (T)</t>
  </si>
  <si>
    <t xml:space="preserve">vrac </t>
  </si>
  <si>
    <t xml:space="preserve">Electrique </t>
  </si>
  <si>
    <t>g/KWH</t>
  </si>
  <si>
    <t>t/TEU</t>
  </si>
  <si>
    <t xml:space="preserve"> KWH/t </t>
  </si>
  <si>
    <t>KWH/TEU</t>
  </si>
  <si>
    <t>Moyenne</t>
  </si>
  <si>
    <t>g/t</t>
  </si>
  <si>
    <t>Stream_2020</t>
  </si>
  <si>
    <t>T</t>
  </si>
  <si>
    <t xml:space="preserve">Nombre de transbordements </t>
  </si>
  <si>
    <t xml:space="preserve">Scénario full Route </t>
  </si>
  <si>
    <t xml:space="preserve">Carburant </t>
  </si>
  <si>
    <t>Totale</t>
  </si>
  <si>
    <t>Eco-Calculateur</t>
  </si>
  <si>
    <t>François Vander Linden</t>
  </si>
  <si>
    <t>francois.vanderlinden@icedd.be</t>
  </si>
  <si>
    <t xml:space="preserve">Braconnier Oriane </t>
  </si>
  <si>
    <t>Véhicule</t>
  </si>
  <si>
    <t>oriane.braconnier@icedd.be</t>
  </si>
  <si>
    <t>Source</t>
  </si>
  <si>
    <t>SPW Mi</t>
  </si>
  <si>
    <t>Utilitaires léger diesel</t>
  </si>
  <si>
    <t>Train diesel</t>
  </si>
  <si>
    <t>Train électrique</t>
  </si>
  <si>
    <t xml:space="preserve">Congestion </t>
  </si>
  <si>
    <t>Intermodalité</t>
  </si>
  <si>
    <t>Facteur de détour</t>
  </si>
  <si>
    <t>ademe</t>
  </si>
  <si>
    <t xml:space="preserve">calcul ICEDD sur base des données ADEME pour la France </t>
  </si>
  <si>
    <t>kWH</t>
  </si>
  <si>
    <t xml:space="preserve">Consommation </t>
  </si>
  <si>
    <t>Kg</t>
  </si>
  <si>
    <t>g/kg</t>
  </si>
  <si>
    <t>Biodiesel-B100</t>
  </si>
  <si>
    <t>unité de consommation</t>
  </si>
  <si>
    <t>Kwh</t>
  </si>
  <si>
    <t>Essence</t>
  </si>
  <si>
    <t>g/L</t>
  </si>
  <si>
    <t xml:space="preserve">Calculateur Trajets </t>
  </si>
  <si>
    <t>Calculateur conso</t>
  </si>
  <si>
    <t xml:space="preserve">Mode de transport </t>
  </si>
  <si>
    <t>Type de chargement</t>
  </si>
  <si>
    <t>Résultats émissions</t>
  </si>
  <si>
    <t>non disponible</t>
  </si>
  <si>
    <t>type de chargement</t>
  </si>
  <si>
    <t>Congestion</t>
  </si>
  <si>
    <t xml:space="preserve">mode de transport </t>
  </si>
  <si>
    <t>mode de transport</t>
  </si>
  <si>
    <r>
      <t xml:space="preserve">Outil de quantification et de monétarisation des </t>
    </r>
    <r>
      <rPr>
        <b/>
        <i/>
        <u/>
        <sz val="16"/>
        <color theme="0"/>
        <rFont val="Calibri"/>
        <family val="2"/>
        <scheme val="minor"/>
      </rPr>
      <t>externalités</t>
    </r>
    <r>
      <rPr>
        <b/>
        <i/>
        <sz val="16"/>
        <color theme="0"/>
        <rFont val="Calibri"/>
        <family val="2"/>
        <scheme val="minor"/>
      </rPr>
      <t xml:space="preserve"> liées au transport de marchandises  </t>
    </r>
  </si>
  <si>
    <t>NB : Les calculateurs ne sont pas faits pour juger de l'efficacité d'un type de transport ni pour comparer les types de transports entre eux mais uniquement pour calculer les émissions des GES et le coût des externalités liées au transport de marchandises</t>
  </si>
  <si>
    <t xml:space="preserve">Résultats- Emissions </t>
  </si>
  <si>
    <t xml:space="preserve">Résultats - Coûts des externalités en € </t>
  </si>
  <si>
    <t>Changement climatique</t>
  </si>
  <si>
    <t>Essence (L)</t>
  </si>
  <si>
    <t>Diesel (L)</t>
  </si>
  <si>
    <t>LNG (L)</t>
  </si>
  <si>
    <t>CNG (L)</t>
  </si>
  <si>
    <t>LPG (L)</t>
  </si>
  <si>
    <t>Biodiesel-B100 (L)</t>
  </si>
  <si>
    <t>Bioethanol (L)</t>
  </si>
  <si>
    <t>Hydrogène (Kg)</t>
  </si>
  <si>
    <t>GTL (L)</t>
  </si>
  <si>
    <t>BIO-CNG (L)</t>
  </si>
  <si>
    <t>BIO-LNG (L)</t>
  </si>
  <si>
    <t>HVO (L)</t>
  </si>
  <si>
    <t>Bio-LNG (L)</t>
  </si>
  <si>
    <t>Electricité (Kwh)</t>
  </si>
  <si>
    <t>Bio-CNG (L)</t>
  </si>
  <si>
    <t>hydrogène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</si>
</sst>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0.0"/>
    <numFmt numFmtId="166" formatCode="0.0000"/>
  </numFmts>
  <fonts count="41" x14ac:knownFonts="1">
    <font>
      <sz val="11"/>
      <color theme="1"/>
      <name val="Calibri"/>
      <family val="2"/>
      <scheme val="minor"/>
    </font>
    <font>
      <b/>
      <sz val="11"/>
      <color theme="1"/>
      <name val="Calibri"/>
      <family val="2"/>
      <scheme val="minor"/>
    </font>
    <font>
      <b/>
      <sz val="11"/>
      <name val="Calibri"/>
      <family val="2"/>
      <scheme val="minor"/>
    </font>
    <font>
      <b/>
      <sz val="11"/>
      <color theme="0"/>
      <name val="Calibri"/>
      <family val="2"/>
      <scheme val="minor"/>
    </font>
    <font>
      <sz val="8"/>
      <name val="Calibri"/>
      <family val="2"/>
      <scheme val="minor"/>
    </font>
    <font>
      <b/>
      <sz val="14"/>
      <color theme="1"/>
      <name val="Calibri"/>
      <family val="2"/>
      <scheme val="minor"/>
    </font>
    <font>
      <sz val="11"/>
      <color rgb="FF0070C0"/>
      <name val="Calibri"/>
      <family val="2"/>
      <scheme val="minor"/>
    </font>
    <font>
      <sz val="11"/>
      <name val="Calibri"/>
      <family val="2"/>
      <scheme val="minor"/>
    </font>
    <font>
      <b/>
      <sz val="16"/>
      <color theme="1"/>
      <name val="Calibri"/>
      <family val="2"/>
      <scheme val="minor"/>
    </font>
    <font>
      <b/>
      <sz val="18"/>
      <color theme="1"/>
      <name val="Calibri"/>
      <family val="2"/>
      <scheme val="minor"/>
    </font>
    <font>
      <sz val="11"/>
      <color theme="7" tint="0.59999389629810485"/>
      <name val="Calibri"/>
      <family val="2"/>
      <scheme val="minor"/>
    </font>
    <font>
      <b/>
      <sz val="20"/>
      <color theme="1"/>
      <name val="Calibri"/>
      <family val="2"/>
      <scheme val="minor"/>
    </font>
    <font>
      <u/>
      <sz val="11"/>
      <color theme="10"/>
      <name val="Calibri"/>
      <family val="2"/>
      <scheme val="minor"/>
    </font>
    <font>
      <sz val="9"/>
      <name val="Calibri"/>
      <family val="2"/>
      <scheme val="minor"/>
    </font>
    <font>
      <b/>
      <sz val="10"/>
      <color theme="1"/>
      <name val="Calibri"/>
      <family val="2"/>
      <scheme val="minor"/>
    </font>
    <font>
      <b/>
      <sz val="9"/>
      <name val="Calibri"/>
      <family val="2"/>
      <scheme val="minor"/>
    </font>
    <font>
      <sz val="11"/>
      <color theme="9"/>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22"/>
      <color theme="1"/>
      <name val="Calibri"/>
      <family val="2"/>
      <scheme val="minor"/>
    </font>
    <font>
      <sz val="16"/>
      <color theme="1"/>
      <name val="Calibri"/>
      <family val="2"/>
      <scheme val="minor"/>
    </font>
    <font>
      <sz val="20"/>
      <color theme="1"/>
      <name val="Calibri"/>
      <family val="2"/>
      <scheme val="minor"/>
    </font>
    <font>
      <b/>
      <sz val="11"/>
      <color theme="5"/>
      <name val="Calibri"/>
      <family val="2"/>
      <scheme val="minor"/>
    </font>
    <font>
      <b/>
      <i/>
      <sz val="26"/>
      <color theme="1"/>
      <name val="Calibri Light"/>
      <family val="2"/>
      <scheme val="major"/>
    </font>
    <font>
      <sz val="11"/>
      <color rgb="FF000000"/>
      <name val="Calibri"/>
      <family val="2"/>
      <scheme val="minor"/>
    </font>
    <font>
      <sz val="11"/>
      <color theme="5" tint="0.59999389629810485"/>
      <name val="Calibri"/>
      <family val="2"/>
      <scheme val="minor"/>
    </font>
    <font>
      <b/>
      <sz val="9"/>
      <color theme="7" tint="0.59999389629810485"/>
      <name val="Calibri"/>
      <family val="2"/>
      <scheme val="minor"/>
    </font>
    <font>
      <b/>
      <sz val="9"/>
      <color theme="5" tint="0.59999389629810485"/>
      <name val="Calibri"/>
      <family val="2"/>
      <scheme val="minor"/>
    </font>
    <font>
      <b/>
      <sz val="9"/>
      <color theme="4" tint="0.59999389629810485"/>
      <name val="Calibri"/>
      <family val="2"/>
      <scheme val="minor"/>
    </font>
    <font>
      <b/>
      <sz val="14"/>
      <name val="Calibri"/>
      <family val="2"/>
      <scheme val="minor"/>
    </font>
    <font>
      <b/>
      <sz val="11"/>
      <color theme="5" tint="0.59999389629810485"/>
      <name val="Calibri"/>
      <family val="2"/>
      <scheme val="minor"/>
    </font>
    <font>
      <b/>
      <sz val="11"/>
      <color theme="4" tint="0.59999389629810485"/>
      <name val="Calibri"/>
      <family val="2"/>
      <scheme val="minor"/>
    </font>
    <font>
      <sz val="8"/>
      <color rgb="FF000000"/>
      <name val="Calibri"/>
      <family val="2"/>
      <scheme val="minor"/>
    </font>
    <font>
      <u/>
      <sz val="8"/>
      <color theme="10"/>
      <name val="Calibri"/>
      <family val="2"/>
      <scheme val="minor"/>
    </font>
    <font>
      <b/>
      <i/>
      <sz val="16"/>
      <color theme="0"/>
      <name val="Calibri"/>
      <family val="2"/>
      <scheme val="minor"/>
    </font>
    <font>
      <b/>
      <i/>
      <u/>
      <sz val="16"/>
      <color theme="0"/>
      <name val="Calibri"/>
      <family val="2"/>
      <scheme val="minor"/>
    </font>
    <font>
      <i/>
      <sz val="10"/>
      <color theme="1"/>
      <name val="Calibri"/>
      <family val="2"/>
      <scheme val="minor"/>
    </font>
    <font>
      <b/>
      <sz val="20"/>
      <name val="Calibri"/>
      <family val="2"/>
      <scheme val="minor"/>
    </font>
  </fonts>
  <fills count="2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bgColor theme="4" tint="0.79998168889431442"/>
      </patternFill>
    </fill>
    <fill>
      <patternFill patternType="solid">
        <fgColor theme="0" tint="-0.24997711111789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2" fillId="0" borderId="0" applyNumberFormat="0" applyFill="0" applyBorder="0" applyAlignment="0" applyProtection="0"/>
    <xf numFmtId="43" fontId="20" fillId="0" borderId="0" applyFont="0" applyFill="0" applyBorder="0" applyAlignment="0" applyProtection="0"/>
    <xf numFmtId="9" fontId="20" fillId="0" borderId="0" applyFont="0" applyFill="0" applyBorder="0" applyAlignment="0" applyProtection="0"/>
  </cellStyleXfs>
  <cellXfs count="279">
    <xf numFmtId="0" fontId="0" fillId="0" borderId="0" xfId="0"/>
    <xf numFmtId="0" fontId="1" fillId="0" borderId="0" xfId="0" applyFont="1"/>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wrapText="1"/>
    </xf>
    <xf numFmtId="164" fontId="0" fillId="0" borderId="0" xfId="0" applyNumberFormat="1"/>
    <xf numFmtId="2" fontId="0" fillId="0" borderId="0" xfId="0" applyNumberFormat="1"/>
    <xf numFmtId="0" fontId="3" fillId="2" borderId="9" xfId="0" applyFont="1" applyFill="1" applyBorder="1"/>
    <xf numFmtId="0" fontId="1" fillId="6" borderId="0" xfId="0" applyFont="1" applyFill="1" applyAlignment="1">
      <alignment horizontal="center" vertical="center"/>
    </xf>
    <xf numFmtId="0" fontId="0" fillId="3" borderId="9" xfId="0" applyFill="1" applyBorder="1"/>
    <xf numFmtId="0" fontId="0" fillId="0" borderId="9" xfId="0" applyBorder="1"/>
    <xf numFmtId="0" fontId="3" fillId="6" borderId="8" xfId="0" applyFont="1" applyFill="1" applyBorder="1" applyAlignment="1">
      <alignment horizontal="center" vertical="center"/>
    </xf>
    <xf numFmtId="0" fontId="3" fillId="6" borderId="10" xfId="0" applyFont="1" applyFill="1" applyBorder="1" applyAlignment="1">
      <alignment horizontal="center" vertical="center"/>
    </xf>
    <xf numFmtId="0" fontId="3" fillId="2" borderId="12" xfId="0" applyFont="1" applyFill="1" applyBorder="1"/>
    <xf numFmtId="0" fontId="0" fillId="3" borderId="11" xfId="0" applyFill="1" applyBorder="1"/>
    <xf numFmtId="0" fontId="0" fillId="3" borderId="9" xfId="0" applyFill="1" applyBorder="1" applyAlignment="1">
      <alignment horizontal="left" vertical="center"/>
    </xf>
    <xf numFmtId="0" fontId="0" fillId="0" borderId="9" xfId="0" applyBorder="1" applyAlignment="1">
      <alignment horizontal="left" vertical="center"/>
    </xf>
    <xf numFmtId="0" fontId="0" fillId="3" borderId="9" xfId="0" applyFill="1" applyBorder="1" applyAlignment="1">
      <alignment horizontal="left"/>
    </xf>
    <xf numFmtId="0" fontId="0" fillId="0" borderId="0" xfId="0" applyAlignment="1">
      <alignment horizontal="right"/>
    </xf>
    <xf numFmtId="0" fontId="6" fillId="0" borderId="0" xfId="0" applyFont="1"/>
    <xf numFmtId="0" fontId="3" fillId="2" borderId="13" xfId="0" applyFont="1" applyFill="1" applyBorder="1"/>
    <xf numFmtId="0" fontId="0" fillId="13" borderId="14" xfId="0" applyFill="1" applyBorder="1"/>
    <xf numFmtId="0" fontId="0" fillId="13" borderId="15" xfId="0" applyFill="1" applyBorder="1"/>
    <xf numFmtId="0" fontId="0" fillId="13" borderId="5" xfId="0" applyFill="1" applyBorder="1"/>
    <xf numFmtId="0" fontId="0" fillId="13" borderId="6" xfId="0" applyFill="1" applyBorder="1"/>
    <xf numFmtId="0" fontId="0" fillId="13" borderId="7" xfId="0" applyFill="1" applyBorder="1"/>
    <xf numFmtId="2" fontId="0" fillId="0" borderId="0" xfId="0" applyNumberFormat="1" applyAlignment="1">
      <alignment horizontal="right"/>
    </xf>
    <xf numFmtId="0" fontId="0" fillId="6" borderId="0" xfId="0" applyFill="1"/>
    <xf numFmtId="0" fontId="7" fillId="0" borderId="0" xfId="0" applyFont="1"/>
    <xf numFmtId="0" fontId="1" fillId="13" borderId="0" xfId="0" applyFont="1" applyFill="1"/>
    <xf numFmtId="0" fontId="0" fillId="17" borderId="0" xfId="0" applyFill="1"/>
    <xf numFmtId="0" fontId="1" fillId="13" borderId="14" xfId="0" applyFont="1" applyFill="1" applyBorder="1"/>
    <xf numFmtId="0" fontId="0" fillId="3" borderId="8" xfId="0" applyFill="1" applyBorder="1"/>
    <xf numFmtId="2" fontId="16" fillId="3" borderId="8" xfId="0" applyNumberFormat="1" applyFont="1" applyFill="1" applyBorder="1"/>
    <xf numFmtId="0" fontId="0" fillId="0" borderId="8" xfId="0" applyBorder="1"/>
    <xf numFmtId="2" fontId="16" fillId="0" borderId="8" xfId="0" applyNumberFormat="1" applyFont="1" applyBorder="1"/>
    <xf numFmtId="165" fontId="0" fillId="3" borderId="8" xfId="0" applyNumberFormat="1" applyFill="1" applyBorder="1"/>
    <xf numFmtId="165" fontId="0" fillId="0" borderId="8" xfId="0" applyNumberFormat="1" applyBorder="1"/>
    <xf numFmtId="2" fontId="0" fillId="0" borderId="8" xfId="0" applyNumberFormat="1" applyBorder="1"/>
    <xf numFmtId="2" fontId="0" fillId="3" borderId="8" xfId="0" applyNumberFormat="1" applyFill="1" applyBorder="1"/>
    <xf numFmtId="2" fontId="7" fillId="0" borderId="8" xfId="0" applyNumberFormat="1" applyFont="1" applyBorder="1"/>
    <xf numFmtId="0" fontId="0" fillId="0" borderId="11" xfId="0" applyBorder="1"/>
    <xf numFmtId="165" fontId="0" fillId="0" borderId="11" xfId="0" applyNumberFormat="1" applyBorder="1"/>
    <xf numFmtId="0" fontId="17" fillId="2" borderId="12" xfId="0" applyFont="1" applyFill="1" applyBorder="1" applyAlignment="1">
      <alignment horizontal="center" vertical="center" wrapText="1"/>
    </xf>
    <xf numFmtId="0" fontId="18" fillId="0" borderId="0" xfId="0" applyFont="1" applyAlignment="1">
      <alignment horizontal="center"/>
    </xf>
    <xf numFmtId="0" fontId="19" fillId="20" borderId="0" xfId="0" applyFont="1" applyFill="1" applyAlignment="1">
      <alignment horizontal="center" vertical="top" wrapText="1"/>
    </xf>
    <xf numFmtId="0" fontId="0" fillId="20" borderId="0" xfId="0" applyFill="1"/>
    <xf numFmtId="0" fontId="5" fillId="20" borderId="0" xfId="0" applyFont="1" applyFill="1" applyAlignment="1">
      <alignment horizontal="center"/>
    </xf>
    <xf numFmtId="0" fontId="0" fillId="20" borderId="0" xfId="0" applyFill="1" applyAlignment="1">
      <alignment wrapText="1"/>
    </xf>
    <xf numFmtId="0" fontId="0" fillId="22" borderId="8" xfId="0" applyFill="1" applyBorder="1"/>
    <xf numFmtId="0" fontId="1" fillId="20" borderId="0" xfId="0" applyFont="1" applyFill="1" applyAlignment="1">
      <alignment horizontal="center"/>
    </xf>
    <xf numFmtId="0" fontId="0" fillId="0" borderId="0" xfId="0" applyAlignment="1">
      <alignment vertical="center" wrapText="1"/>
    </xf>
    <xf numFmtId="0" fontId="21" fillId="0" borderId="0" xfId="0" applyFont="1" applyAlignment="1">
      <alignment vertical="center" wrapText="1"/>
    </xf>
    <xf numFmtId="0" fontId="21" fillId="0" borderId="0" xfId="0" applyFont="1"/>
    <xf numFmtId="0" fontId="7" fillId="0" borderId="0" xfId="2" applyNumberFormat="1" applyFont="1"/>
    <xf numFmtId="0" fontId="23" fillId="0" borderId="0" xfId="0" applyFont="1"/>
    <xf numFmtId="0" fontId="24" fillId="0" borderId="0" xfId="0" applyFont="1"/>
    <xf numFmtId="0" fontId="24" fillId="6" borderId="0" xfId="0" applyFont="1" applyFill="1"/>
    <xf numFmtId="49" fontId="7" fillId="0" borderId="0" xfId="0" applyNumberFormat="1" applyFont="1"/>
    <xf numFmtId="49" fontId="0" fillId="0" borderId="0" xfId="0" applyNumberFormat="1"/>
    <xf numFmtId="0" fontId="23" fillId="6" borderId="0" xfId="0" applyFont="1" applyFill="1"/>
    <xf numFmtId="9" fontId="0" fillId="0" borderId="0" xfId="3" applyFont="1"/>
    <xf numFmtId="10" fontId="0" fillId="0" borderId="0" xfId="0" applyNumberFormat="1" applyAlignment="1">
      <alignment wrapText="1"/>
    </xf>
    <xf numFmtId="0" fontId="25" fillId="0" borderId="0" xfId="0" applyFont="1"/>
    <xf numFmtId="0" fontId="0" fillId="0" borderId="1" xfId="0" applyBorder="1"/>
    <xf numFmtId="0" fontId="12" fillId="0" borderId="0" xfId="1" applyBorder="1"/>
    <xf numFmtId="0" fontId="27" fillId="0" borderId="0" xfId="0" applyFont="1"/>
    <xf numFmtId="0" fontId="0" fillId="0" borderId="14" xfId="0" applyBorder="1"/>
    <xf numFmtId="0" fontId="0" fillId="0" borderId="15" xfId="0" applyBorder="1"/>
    <xf numFmtId="0" fontId="0" fillId="0" borderId="5" xfId="0" applyBorder="1"/>
    <xf numFmtId="0" fontId="0" fillId="0" borderId="6" xfId="0" applyBorder="1"/>
    <xf numFmtId="0" fontId="0" fillId="0" borderId="7" xfId="0" applyBorder="1"/>
    <xf numFmtId="0" fontId="0" fillId="0" borderId="2" xfId="0" applyBorder="1"/>
    <xf numFmtId="0" fontId="0" fillId="0" borderId="3" xfId="0" applyBorder="1"/>
    <xf numFmtId="0" fontId="0" fillId="0" borderId="4" xfId="0" applyBorder="1"/>
    <xf numFmtId="0" fontId="27" fillId="0" borderId="14" xfId="0" applyFont="1" applyBorder="1"/>
    <xf numFmtId="0" fontId="1" fillId="13" borderId="0" xfId="0" applyFont="1" applyFill="1" applyAlignment="1">
      <alignment horizontal="center"/>
    </xf>
    <xf numFmtId="0" fontId="1" fillId="13" borderId="14" xfId="0" applyFont="1" applyFill="1" applyBorder="1" applyAlignment="1">
      <alignment horizontal="right"/>
    </xf>
    <xf numFmtId="0" fontId="0" fillId="13" borderId="0" xfId="0" applyFill="1"/>
    <xf numFmtId="0" fontId="0" fillId="11" borderId="0" xfId="0" applyFill="1" applyAlignment="1">
      <alignment horizontal="center"/>
    </xf>
    <xf numFmtId="164" fontId="0" fillId="0" borderId="1" xfId="0" applyNumberFormat="1" applyBorder="1"/>
    <xf numFmtId="164" fontId="1" fillId="0" borderId="1" xfId="0" applyNumberFormat="1" applyFont="1" applyBorder="1"/>
    <xf numFmtId="0" fontId="1" fillId="6" borderId="14" xfId="0" applyFont="1" applyFill="1" applyBorder="1" applyAlignment="1">
      <alignment horizontal="center" vertical="center"/>
    </xf>
    <xf numFmtId="0" fontId="1" fillId="0" borderId="15" xfId="0" applyFont="1" applyBorder="1" applyAlignment="1">
      <alignment horizontal="center" vertical="center"/>
    </xf>
    <xf numFmtId="0" fontId="0" fillId="6" borderId="14" xfId="0" applyFill="1" applyBorder="1"/>
    <xf numFmtId="0" fontId="7" fillId="8" borderId="20" xfId="0" applyFont="1" applyFill="1" applyBorder="1" applyAlignment="1" applyProtection="1">
      <alignment horizontal="center"/>
      <protection locked="0"/>
    </xf>
    <xf numFmtId="0" fontId="7" fillId="8" borderId="21" xfId="0" applyFont="1" applyFill="1" applyBorder="1" applyAlignment="1" applyProtection="1">
      <alignment horizontal="center"/>
      <protection locked="0"/>
    </xf>
    <xf numFmtId="0" fontId="7" fillId="8" borderId="22" xfId="0" applyFont="1" applyFill="1" applyBorder="1" applyAlignment="1" applyProtection="1">
      <alignment horizontal="center"/>
      <protection locked="0"/>
    </xf>
    <xf numFmtId="0" fontId="7" fillId="5" borderId="21" xfId="0" applyFont="1" applyFill="1" applyBorder="1" applyAlignment="1" applyProtection="1">
      <alignment horizontal="center"/>
      <protection locked="0"/>
    </xf>
    <xf numFmtId="0" fontId="7" fillId="5" borderId="19" xfId="0" applyFont="1" applyFill="1" applyBorder="1" applyAlignment="1" applyProtection="1">
      <alignment horizontal="center"/>
      <protection locked="0"/>
    </xf>
    <xf numFmtId="0" fontId="7" fillId="5" borderId="22" xfId="0" applyFont="1" applyFill="1" applyBorder="1" applyAlignment="1" applyProtection="1">
      <alignment horizontal="center"/>
      <protection locked="0"/>
    </xf>
    <xf numFmtId="0" fontId="7" fillId="4" borderId="14" xfId="0" applyFont="1" applyFill="1" applyBorder="1"/>
    <xf numFmtId="0" fontId="7" fillId="4" borderId="0" xfId="0" applyFont="1" applyFill="1"/>
    <xf numFmtId="0" fontId="7" fillId="4" borderId="0" xfId="0" applyFont="1" applyFill="1" applyAlignment="1">
      <alignment horizontal="center"/>
    </xf>
    <xf numFmtId="0" fontId="7" fillId="4" borderId="15" xfId="0" applyFont="1" applyFill="1" applyBorder="1"/>
    <xf numFmtId="0" fontId="0" fillId="17" borderId="14" xfId="0" applyFill="1" applyBorder="1"/>
    <xf numFmtId="0" fontId="0" fillId="17" borderId="15" xfId="0" applyFill="1" applyBorder="1"/>
    <xf numFmtId="0" fontId="3" fillId="19" borderId="8" xfId="0" applyFont="1" applyFill="1" applyBorder="1" applyAlignment="1">
      <alignment horizontal="center" vertical="center"/>
    </xf>
    <xf numFmtId="0" fontId="3" fillId="19" borderId="0" xfId="0" applyFont="1" applyFill="1" applyAlignment="1">
      <alignment horizontal="right" vertical="center"/>
    </xf>
    <xf numFmtId="0" fontId="7" fillId="4" borderId="5" xfId="0" applyFont="1" applyFill="1" applyBorder="1"/>
    <xf numFmtId="0" fontId="7" fillId="4" borderId="6" xfId="0" applyFont="1" applyFill="1" applyBorder="1"/>
    <xf numFmtId="0" fontId="7" fillId="4" borderId="6" xfId="0" applyFont="1" applyFill="1" applyBorder="1" applyAlignment="1">
      <alignment horizontal="center"/>
    </xf>
    <xf numFmtId="0" fontId="7" fillId="4" borderId="7" xfId="0" applyFont="1" applyFill="1" applyBorder="1"/>
    <xf numFmtId="0" fontId="3" fillId="19" borderId="0" xfId="0" applyFont="1" applyFill="1" applyAlignment="1">
      <alignment horizontal="center" vertical="center"/>
    </xf>
    <xf numFmtId="0" fontId="3" fillId="0" borderId="0" xfId="0" applyFont="1" applyAlignment="1">
      <alignment horizontal="center" vertical="center"/>
    </xf>
    <xf numFmtId="0" fontId="3" fillId="0" borderId="0" xfId="0" applyFont="1" applyAlignment="1">
      <alignment horizontal="right" vertical="center"/>
    </xf>
    <xf numFmtId="0" fontId="8" fillId="14" borderId="2" xfId="0" applyFont="1" applyFill="1" applyBorder="1" applyAlignment="1">
      <alignment vertical="center"/>
    </xf>
    <xf numFmtId="0" fontId="8" fillId="14" borderId="3" xfId="0" applyFont="1" applyFill="1" applyBorder="1" applyAlignment="1">
      <alignment vertical="center"/>
    </xf>
    <xf numFmtId="0" fontId="8" fillId="14" borderId="4" xfId="0" applyFont="1" applyFill="1" applyBorder="1" applyAlignment="1">
      <alignment vertical="center"/>
    </xf>
    <xf numFmtId="0" fontId="8" fillId="14" borderId="14" xfId="0" applyFont="1" applyFill="1" applyBorder="1" applyAlignment="1">
      <alignment vertical="center"/>
    </xf>
    <xf numFmtId="0" fontId="8" fillId="14" borderId="0" xfId="0" applyFont="1" applyFill="1" applyAlignment="1">
      <alignment vertical="center"/>
    </xf>
    <xf numFmtId="0" fontId="8" fillId="14" borderId="15" xfId="0" applyFont="1" applyFill="1" applyBorder="1" applyAlignment="1">
      <alignment vertical="center"/>
    </xf>
    <xf numFmtId="0" fontId="0" fillId="0" borderId="0" xfId="0" applyAlignment="1">
      <alignment horizontal="center" vertical="center"/>
    </xf>
    <xf numFmtId="0" fontId="0" fillId="14" borderId="14" xfId="0" applyFill="1" applyBorder="1"/>
    <xf numFmtId="0" fontId="1" fillId="14" borderId="0" xfId="0" applyFont="1" applyFill="1" applyAlignment="1">
      <alignment horizontal="center"/>
    </xf>
    <xf numFmtId="0" fontId="0" fillId="14" borderId="0" xfId="0" applyFill="1"/>
    <xf numFmtId="0" fontId="0" fillId="12" borderId="1" xfId="0" applyFill="1" applyBorder="1" applyAlignment="1">
      <alignment horizontal="center"/>
    </xf>
    <xf numFmtId="0" fontId="0" fillId="14" borderId="0" xfId="0" applyFill="1" applyAlignment="1">
      <alignment horizontal="center"/>
    </xf>
    <xf numFmtId="0" fontId="10" fillId="14" borderId="0" xfId="0" applyFont="1" applyFill="1" applyAlignment="1">
      <alignment horizontal="center"/>
    </xf>
    <xf numFmtId="0" fontId="33" fillId="14" borderId="0" xfId="0" applyFont="1" applyFill="1" applyAlignment="1">
      <alignment horizontal="right"/>
    </xf>
    <xf numFmtId="0" fontId="7" fillId="14" borderId="15" xfId="0" applyFont="1" applyFill="1" applyBorder="1" applyAlignment="1">
      <alignment horizontal="right"/>
    </xf>
    <xf numFmtId="0" fontId="0" fillId="0" borderId="0" xfId="0" applyAlignment="1">
      <alignment horizontal="left"/>
    </xf>
    <xf numFmtId="0" fontId="7" fillId="14" borderId="0" xfId="0" applyFont="1" applyFill="1"/>
    <xf numFmtId="0" fontId="7" fillId="14" borderId="15" xfId="0" applyFont="1" applyFill="1" applyBorder="1"/>
    <xf numFmtId="0" fontId="1" fillId="14" borderId="14" xfId="0" applyFont="1" applyFill="1" applyBorder="1" applyAlignment="1">
      <alignment horizontal="center" vertical="center"/>
    </xf>
    <xf numFmtId="0" fontId="2" fillId="14" borderId="0" xfId="0" applyFont="1" applyFill="1" applyAlignment="1">
      <alignment horizontal="center"/>
    </xf>
    <xf numFmtId="2" fontId="7" fillId="12" borderId="1" xfId="0" applyNumberFormat="1" applyFont="1" applyFill="1" applyBorder="1" applyAlignment="1">
      <alignment horizontal="center"/>
    </xf>
    <xf numFmtId="0" fontId="7" fillId="14" borderId="0" xfId="0" applyFont="1" applyFill="1" applyAlignment="1">
      <alignment horizontal="center"/>
    </xf>
    <xf numFmtId="2" fontId="7" fillId="14" borderId="0" xfId="0" applyNumberFormat="1" applyFont="1" applyFill="1" applyAlignment="1">
      <alignment horizontal="center"/>
    </xf>
    <xf numFmtId="165" fontId="30" fillId="14" borderId="0" xfId="0" applyNumberFormat="1" applyFont="1" applyFill="1"/>
    <xf numFmtId="0" fontId="13" fillId="14" borderId="15" xfId="0" applyFont="1" applyFill="1" applyBorder="1"/>
    <xf numFmtId="0" fontId="1" fillId="14" borderId="14" xfId="0" applyFont="1" applyFill="1" applyBorder="1"/>
    <xf numFmtId="0" fontId="28" fillId="14" borderId="0" xfId="0" applyFont="1" applyFill="1"/>
    <xf numFmtId="0" fontId="7" fillId="12" borderId="1" xfId="0" applyFont="1" applyFill="1" applyBorder="1" applyAlignment="1">
      <alignment horizontal="center"/>
    </xf>
    <xf numFmtId="165" fontId="15" fillId="14" borderId="0" xfId="0" applyNumberFormat="1" applyFont="1" applyFill="1"/>
    <xf numFmtId="0" fontId="1" fillId="9" borderId="14" xfId="0" applyFont="1" applyFill="1" applyBorder="1" applyAlignment="1">
      <alignment horizontal="center" vertical="center"/>
    </xf>
    <xf numFmtId="0" fontId="2" fillId="9" borderId="0" xfId="0" applyFont="1" applyFill="1" applyAlignment="1">
      <alignment horizontal="center"/>
    </xf>
    <xf numFmtId="0" fontId="7" fillId="9" borderId="0" xfId="0" applyFont="1" applyFill="1"/>
    <xf numFmtId="0" fontId="7" fillId="9" borderId="0" xfId="0" applyFont="1" applyFill="1" applyAlignment="1">
      <alignment horizontal="center"/>
    </xf>
    <xf numFmtId="165" fontId="29" fillId="9" borderId="0" xfId="0" applyNumberFormat="1" applyFont="1" applyFill="1"/>
    <xf numFmtId="0" fontId="13" fillId="9" borderId="15" xfId="0" applyFont="1" applyFill="1" applyBorder="1"/>
    <xf numFmtId="0" fontId="10" fillId="9" borderId="0" xfId="0" applyFont="1" applyFill="1" applyAlignment="1">
      <alignment horizontal="center"/>
    </xf>
    <xf numFmtId="0" fontId="1" fillId="9" borderId="14" xfId="0" applyFont="1" applyFill="1" applyBorder="1"/>
    <xf numFmtId="165" fontId="15" fillId="9" borderId="0" xfId="0" applyNumberFormat="1" applyFont="1" applyFill="1"/>
    <xf numFmtId="0" fontId="0" fillId="9" borderId="5" xfId="0" applyFill="1" applyBorder="1"/>
    <xf numFmtId="0" fontId="0" fillId="9" borderId="6" xfId="0" applyFill="1" applyBorder="1"/>
    <xf numFmtId="0" fontId="7" fillId="9" borderId="7" xfId="0" applyFont="1" applyFill="1" applyBorder="1"/>
    <xf numFmtId="0" fontId="8" fillId="16" borderId="14" xfId="0" applyFont="1" applyFill="1" applyBorder="1" applyAlignment="1">
      <alignment vertical="center"/>
    </xf>
    <xf numFmtId="0" fontId="8" fillId="16" borderId="0" xfId="0" applyFont="1" applyFill="1" applyAlignment="1">
      <alignment vertical="center"/>
    </xf>
    <xf numFmtId="0" fontId="8" fillId="16" borderId="15" xfId="0" applyFont="1" applyFill="1" applyBorder="1" applyAlignment="1">
      <alignment vertical="center"/>
    </xf>
    <xf numFmtId="0" fontId="0" fillId="16" borderId="14" xfId="0" applyFill="1" applyBorder="1"/>
    <xf numFmtId="0" fontId="1" fillId="16" borderId="0" xfId="0" applyFont="1" applyFill="1" applyAlignment="1">
      <alignment horizontal="center"/>
    </xf>
    <xf numFmtId="0" fontId="0" fillId="16" borderId="0" xfId="0" applyFill="1"/>
    <xf numFmtId="0" fontId="10" fillId="16" borderId="0" xfId="0" applyFont="1" applyFill="1" applyAlignment="1">
      <alignment horizontal="center"/>
    </xf>
    <xf numFmtId="0" fontId="34" fillId="16" borderId="0" xfId="0" applyFont="1" applyFill="1" applyAlignment="1">
      <alignment horizontal="right"/>
    </xf>
    <xf numFmtId="0" fontId="7" fillId="16" borderId="15" xfId="0" applyFont="1" applyFill="1" applyBorder="1" applyAlignment="1">
      <alignment horizontal="right"/>
    </xf>
    <xf numFmtId="0" fontId="7" fillId="10" borderId="1" xfId="0" applyFont="1" applyFill="1" applyBorder="1" applyAlignment="1">
      <alignment horizontal="center"/>
    </xf>
    <xf numFmtId="0" fontId="7" fillId="16" borderId="0" xfId="0" applyFont="1" applyFill="1" applyAlignment="1">
      <alignment horizontal="center"/>
    </xf>
    <xf numFmtId="165" fontId="31" fillId="16" borderId="0" xfId="0" applyNumberFormat="1" applyFont="1" applyFill="1"/>
    <xf numFmtId="0" fontId="7" fillId="16" borderId="15" xfId="0" applyFont="1" applyFill="1" applyBorder="1"/>
    <xf numFmtId="0" fontId="0" fillId="16" borderId="15" xfId="0" applyFill="1" applyBorder="1"/>
    <xf numFmtId="0" fontId="0" fillId="16" borderId="5" xfId="0" applyFill="1" applyBorder="1"/>
    <xf numFmtId="0" fontId="0" fillId="16" borderId="6" xfId="0" applyFill="1" applyBorder="1"/>
    <xf numFmtId="0" fontId="0" fillId="16" borderId="7" xfId="0" applyFill="1" applyBorder="1"/>
    <xf numFmtId="0" fontId="0" fillId="17" borderId="5" xfId="0" applyFill="1" applyBorder="1"/>
    <xf numFmtId="0" fontId="0" fillId="17" borderId="6" xfId="0" applyFill="1" applyBorder="1"/>
    <xf numFmtId="0" fontId="0" fillId="17" borderId="7" xfId="0" applyFill="1" applyBorder="1"/>
    <xf numFmtId="0" fontId="7" fillId="17" borderId="22" xfId="0" applyFont="1" applyFill="1" applyBorder="1" applyAlignment="1">
      <alignment horizontal="center"/>
    </xf>
    <xf numFmtId="0" fontId="2" fillId="0" borderId="8" xfId="0" applyFont="1" applyBorder="1" applyAlignment="1">
      <alignment horizontal="left" vertical="center"/>
    </xf>
    <xf numFmtId="0" fontId="2" fillId="0" borderId="0" xfId="0" applyFont="1" applyAlignment="1">
      <alignment horizontal="right" vertical="center"/>
    </xf>
    <xf numFmtId="0" fontId="2" fillId="4" borderId="0" xfId="0" applyFont="1" applyFill="1" applyAlignment="1">
      <alignment horizontal="right"/>
    </xf>
    <xf numFmtId="0" fontId="7" fillId="4" borderId="21" xfId="0" applyFont="1" applyFill="1" applyBorder="1" applyAlignment="1">
      <alignment horizontal="center"/>
    </xf>
    <xf numFmtId="0" fontId="7" fillId="4" borderId="0" xfId="0" applyFont="1" applyFill="1" applyAlignment="1">
      <alignment horizontal="right"/>
    </xf>
    <xf numFmtId="0" fontId="2" fillId="4" borderId="0" xfId="0" applyFont="1" applyFill="1"/>
    <xf numFmtId="0" fontId="7" fillId="17" borderId="21" xfId="0" applyFont="1" applyFill="1" applyBorder="1" applyAlignment="1">
      <alignment horizontal="center"/>
    </xf>
    <xf numFmtId="0" fontId="2" fillId="4" borderId="0" xfId="0" applyFont="1" applyFill="1" applyAlignment="1">
      <alignment horizontal="right" wrapText="1"/>
    </xf>
    <xf numFmtId="0" fontId="3" fillId="6" borderId="8" xfId="0" applyFont="1" applyFill="1" applyBorder="1" applyAlignment="1">
      <alignment horizontal="left" vertical="center"/>
    </xf>
    <xf numFmtId="0" fontId="3" fillId="6" borderId="0" xfId="0" applyFont="1" applyFill="1" applyAlignment="1">
      <alignment horizontal="right" vertical="center"/>
    </xf>
    <xf numFmtId="0" fontId="2" fillId="4" borderId="0" xfId="0" applyFont="1" applyFill="1" applyAlignment="1">
      <alignment horizontal="right" vertical="center"/>
    </xf>
    <xf numFmtId="0" fontId="7" fillId="4" borderId="21" xfId="0" applyFont="1" applyFill="1" applyBorder="1"/>
    <xf numFmtId="0" fontId="2" fillId="0" borderId="0" xfId="0" applyFont="1"/>
    <xf numFmtId="0" fontId="3" fillId="19" borderId="8" xfId="0" applyFont="1" applyFill="1" applyBorder="1" applyAlignment="1">
      <alignment horizontal="left" vertical="center"/>
    </xf>
    <xf numFmtId="0" fontId="7" fillId="7" borderId="0" xfId="0" applyFont="1" applyFill="1" applyAlignment="1">
      <alignment horizontal="right"/>
    </xf>
    <xf numFmtId="0" fontId="0" fillId="7" borderId="0" xfId="0" applyFill="1"/>
    <xf numFmtId="0" fontId="7" fillId="4" borderId="20" xfId="0" applyFont="1" applyFill="1" applyBorder="1"/>
    <xf numFmtId="0" fontId="7" fillId="17" borderId="20" xfId="0" applyFont="1" applyFill="1" applyBorder="1" applyAlignment="1">
      <alignment horizontal="center"/>
    </xf>
    <xf numFmtId="0" fontId="0" fillId="8" borderId="0" xfId="0" applyFill="1"/>
    <xf numFmtId="0" fontId="0" fillId="5" borderId="0" xfId="0" applyFill="1"/>
    <xf numFmtId="0" fontId="14" fillId="0" borderId="0" xfId="0" applyFont="1" applyAlignment="1">
      <alignment horizontal="left" vertical="center"/>
    </xf>
    <xf numFmtId="0" fontId="5" fillId="4" borderId="0" xfId="0" applyFont="1" applyFill="1" applyAlignment="1">
      <alignment horizontal="center"/>
    </xf>
    <xf numFmtId="0" fontId="32" fillId="4" borderId="0" xfId="0" applyFont="1" applyFill="1" applyAlignment="1">
      <alignment horizontal="right" vertical="center"/>
    </xf>
    <xf numFmtId="0" fontId="32" fillId="4" borderId="0" xfId="0" applyFont="1" applyFill="1"/>
    <xf numFmtId="0" fontId="32" fillId="4" borderId="0" xfId="0" applyFont="1" applyFill="1" applyAlignment="1">
      <alignment horizontal="center"/>
    </xf>
    <xf numFmtId="0" fontId="32" fillId="4" borderId="15" xfId="0" applyFont="1" applyFill="1" applyBorder="1"/>
    <xf numFmtId="0" fontId="3" fillId="19" borderId="10" xfId="0" applyFont="1" applyFill="1" applyBorder="1" applyAlignment="1">
      <alignment horizontal="left" vertical="center"/>
    </xf>
    <xf numFmtId="0" fontId="0" fillId="8" borderId="25" xfId="0" applyFill="1" applyBorder="1" applyAlignment="1" applyProtection="1">
      <alignment horizontal="center"/>
      <protection locked="0"/>
    </xf>
    <xf numFmtId="0" fontId="0" fillId="8" borderId="24" xfId="0" applyFill="1" applyBorder="1" applyAlignment="1" applyProtection="1">
      <alignment horizontal="center"/>
      <protection locked="0"/>
    </xf>
    <xf numFmtId="0" fontId="0" fillId="4" borderId="5" xfId="0" applyFill="1" applyBorder="1"/>
    <xf numFmtId="0" fontId="0" fillId="4" borderId="6" xfId="0" applyFill="1" applyBorder="1"/>
    <xf numFmtId="0" fontId="0" fillId="4" borderId="6" xfId="0" applyFill="1" applyBorder="1" applyAlignment="1">
      <alignment horizontal="center"/>
    </xf>
    <xf numFmtId="0" fontId="0" fillId="4" borderId="7" xfId="0" applyFill="1" applyBorder="1"/>
    <xf numFmtId="2" fontId="28" fillId="14" borderId="0" xfId="0" applyNumberFormat="1" applyFont="1" applyFill="1" applyAlignment="1">
      <alignment horizontal="center"/>
    </xf>
    <xf numFmtId="0" fontId="1" fillId="14" borderId="14" xfId="0" applyFont="1" applyFill="1" applyBorder="1" applyAlignment="1">
      <alignment vertical="center"/>
    </xf>
    <xf numFmtId="2" fontId="10" fillId="9" borderId="0" xfId="0" applyNumberFormat="1" applyFont="1" applyFill="1" applyAlignment="1">
      <alignment horizontal="center"/>
    </xf>
    <xf numFmtId="0" fontId="1" fillId="9" borderId="14" xfId="0" applyFont="1" applyFill="1" applyBorder="1" applyAlignment="1">
      <alignment vertical="center"/>
    </xf>
    <xf numFmtId="2" fontId="7" fillId="9" borderId="0" xfId="0" applyNumberFormat="1" applyFont="1" applyFill="1" applyAlignment="1">
      <alignment horizontal="center"/>
    </xf>
    <xf numFmtId="0" fontId="0" fillId="4" borderId="15" xfId="0" applyFill="1" applyBorder="1"/>
    <xf numFmtId="0" fontId="0" fillId="4" borderId="14" xfId="0" applyFill="1" applyBorder="1"/>
    <xf numFmtId="0" fontId="0" fillId="4" borderId="0" xfId="0" applyFill="1"/>
    <xf numFmtId="0" fontId="0" fillId="4" borderId="0" xfId="0" applyFill="1" applyAlignment="1">
      <alignment horizontal="center"/>
    </xf>
    <xf numFmtId="0" fontId="0" fillId="4" borderId="21" xfId="0" applyFill="1" applyBorder="1" applyAlignment="1">
      <alignment horizontal="center"/>
    </xf>
    <xf numFmtId="0" fontId="1" fillId="4" borderId="0" xfId="0" applyFont="1" applyFill="1" applyAlignment="1">
      <alignment horizontal="center" vertical="center" wrapText="1"/>
    </xf>
    <xf numFmtId="0" fontId="1" fillId="4" borderId="0" xfId="0" applyFont="1" applyFill="1" applyAlignment="1">
      <alignment horizontal="right"/>
    </xf>
    <xf numFmtId="0" fontId="1" fillId="4" borderId="21" xfId="0" applyFont="1" applyFill="1" applyBorder="1" applyAlignment="1">
      <alignment horizontal="center" vertical="center"/>
    </xf>
    <xf numFmtId="0" fontId="1" fillId="4" borderId="0" xfId="0" applyFont="1" applyFill="1" applyAlignment="1">
      <alignment horizontal="center" vertical="center"/>
    </xf>
    <xf numFmtId="0" fontId="1" fillId="4" borderId="0" xfId="0" applyFont="1" applyFill="1" applyAlignment="1">
      <alignment horizontal="center"/>
    </xf>
    <xf numFmtId="0" fontId="0" fillId="17" borderId="25" xfId="0" applyFill="1" applyBorder="1" applyAlignment="1">
      <alignment horizontal="center"/>
    </xf>
    <xf numFmtId="0" fontId="0" fillId="17" borderId="2" xfId="0" applyFill="1" applyBorder="1"/>
    <xf numFmtId="0" fontId="0" fillId="17" borderId="3" xfId="0" applyFill="1" applyBorder="1"/>
    <xf numFmtId="0" fontId="0" fillId="17" borderId="4" xfId="0" applyFill="1" applyBorder="1"/>
    <xf numFmtId="0" fontId="9" fillId="4" borderId="2" xfId="0" applyFont="1" applyFill="1" applyBorder="1"/>
    <xf numFmtId="0" fontId="9" fillId="4" borderId="3" xfId="0" applyFont="1" applyFill="1" applyBorder="1"/>
    <xf numFmtId="0" fontId="9" fillId="4" borderId="4" xfId="0" applyFont="1" applyFill="1" applyBorder="1"/>
    <xf numFmtId="0" fontId="5" fillId="4" borderId="0" xfId="0" applyFont="1" applyFill="1" applyAlignment="1">
      <alignment horizontal="right" vertical="center"/>
    </xf>
    <xf numFmtId="0" fontId="5" fillId="4" borderId="0" xfId="0" applyFont="1" applyFill="1"/>
    <xf numFmtId="0" fontId="5" fillId="4" borderId="15" xfId="0" applyFont="1" applyFill="1" applyBorder="1"/>
    <xf numFmtId="0" fontId="24" fillId="15" borderId="0" xfId="0" applyFont="1" applyFill="1"/>
    <xf numFmtId="0" fontId="36" fillId="0" borderId="0" xfId="1" applyFont="1" applyBorder="1"/>
    <xf numFmtId="0" fontId="35" fillId="0" borderId="0" xfId="0" applyFont="1"/>
    <xf numFmtId="0" fontId="39" fillId="17" borderId="0" xfId="0" applyFont="1" applyFill="1" applyAlignment="1">
      <alignment vertical="center" wrapText="1"/>
    </xf>
    <xf numFmtId="166" fontId="0" fillId="0" borderId="0" xfId="0" applyNumberFormat="1"/>
    <xf numFmtId="0" fontId="0" fillId="5" borderId="26" xfId="0" applyFill="1" applyBorder="1" applyAlignment="1" applyProtection="1">
      <alignment horizontal="center"/>
      <protection locked="0"/>
    </xf>
    <xf numFmtId="0" fontId="0" fillId="5" borderId="26" xfId="0" applyFill="1" applyBorder="1" applyAlignment="1">
      <alignment horizontal="center"/>
    </xf>
    <xf numFmtId="0" fontId="2" fillId="5" borderId="19" xfId="0" applyFont="1" applyFill="1" applyBorder="1" applyAlignment="1" applyProtection="1">
      <alignment horizontal="center"/>
      <protection locked="0"/>
    </xf>
    <xf numFmtId="0" fontId="0" fillId="5" borderId="19" xfId="0" applyFill="1" applyBorder="1" applyAlignment="1" applyProtection="1">
      <alignment horizontal="center"/>
      <protection locked="0"/>
    </xf>
    <xf numFmtId="0" fontId="26" fillId="0" borderId="14" xfId="0" applyFont="1" applyBorder="1" applyAlignment="1">
      <alignment horizontal="center" vertical="center"/>
    </xf>
    <xf numFmtId="0" fontId="26" fillId="0" borderId="0" xfId="0" applyFont="1" applyAlignment="1">
      <alignment horizontal="center" vertical="center"/>
    </xf>
    <xf numFmtId="0" fontId="37" fillId="23" borderId="2" xfId="0" applyFont="1" applyFill="1" applyBorder="1" applyAlignment="1">
      <alignment horizontal="center" vertical="center" wrapText="1"/>
    </xf>
    <xf numFmtId="0" fontId="37" fillId="23" borderId="3" xfId="0" applyFont="1" applyFill="1" applyBorder="1" applyAlignment="1">
      <alignment horizontal="center" vertical="center" wrapText="1"/>
    </xf>
    <xf numFmtId="0" fontId="37" fillId="23" borderId="4" xfId="0" applyFont="1" applyFill="1" applyBorder="1" applyAlignment="1">
      <alignment horizontal="center" vertical="center" wrapText="1"/>
    </xf>
    <xf numFmtId="0" fontId="37" fillId="23" borderId="5" xfId="0" applyFont="1" applyFill="1" applyBorder="1" applyAlignment="1">
      <alignment horizontal="center" vertical="center" wrapText="1"/>
    </xf>
    <xf numFmtId="0" fontId="37" fillId="23" borderId="6" xfId="0" applyFont="1" applyFill="1" applyBorder="1" applyAlignment="1">
      <alignment horizontal="center" vertical="center" wrapText="1"/>
    </xf>
    <xf numFmtId="0" fontId="37" fillId="23" borderId="7" xfId="0" applyFont="1" applyFill="1" applyBorder="1" applyAlignment="1">
      <alignment horizontal="center" vertical="center" wrapText="1"/>
    </xf>
    <xf numFmtId="0" fontId="39" fillId="17" borderId="0" xfId="0" applyFont="1" applyFill="1" applyAlignment="1">
      <alignment horizontal="center" vertical="center" wrapText="1"/>
    </xf>
    <xf numFmtId="0" fontId="11" fillId="0" borderId="0" xfId="0" applyFont="1" applyAlignment="1">
      <alignment horizontal="center"/>
    </xf>
    <xf numFmtId="0" fontId="11" fillId="0" borderId="6" xfId="0" applyFont="1" applyBorder="1" applyAlignment="1">
      <alignment horizontal="center"/>
    </xf>
    <xf numFmtId="0" fontId="11" fillId="17" borderId="2" xfId="0" applyFont="1" applyFill="1" applyBorder="1" applyAlignment="1">
      <alignment horizontal="center" vertical="center"/>
    </xf>
    <xf numFmtId="0" fontId="0" fillId="17" borderId="3" xfId="0" applyFill="1" applyBorder="1" applyAlignment="1">
      <alignment horizontal="center" vertical="center"/>
    </xf>
    <xf numFmtId="0" fontId="0" fillId="17" borderId="4" xfId="0" applyFill="1" applyBorder="1" applyAlignment="1">
      <alignment horizontal="center" vertical="center"/>
    </xf>
    <xf numFmtId="0" fontId="0" fillId="17" borderId="14" xfId="0" applyFill="1" applyBorder="1" applyAlignment="1">
      <alignment horizontal="center" vertical="center"/>
    </xf>
    <xf numFmtId="0" fontId="0" fillId="17" borderId="0" xfId="0" applyFill="1" applyAlignment="1">
      <alignment horizontal="center" vertical="center"/>
    </xf>
    <xf numFmtId="0" fontId="0" fillId="17" borderId="15" xfId="0" applyFill="1" applyBorder="1" applyAlignment="1">
      <alignment horizontal="center" vertical="center"/>
    </xf>
    <xf numFmtId="0" fontId="11" fillId="14" borderId="2" xfId="0" applyFont="1" applyFill="1" applyBorder="1" applyAlignment="1">
      <alignment horizontal="center" vertical="center"/>
    </xf>
    <xf numFmtId="0" fontId="11" fillId="14" borderId="3" xfId="0" applyFont="1" applyFill="1" applyBorder="1" applyAlignment="1">
      <alignment horizontal="center" vertical="center"/>
    </xf>
    <xf numFmtId="0" fontId="11" fillId="14" borderId="4" xfId="0" applyFont="1" applyFill="1" applyBorder="1" applyAlignment="1">
      <alignment horizontal="center" vertical="center"/>
    </xf>
    <xf numFmtId="0" fontId="11" fillId="16" borderId="2" xfId="0" applyFont="1" applyFill="1" applyBorder="1" applyAlignment="1">
      <alignment horizontal="center" vertical="center"/>
    </xf>
    <xf numFmtId="0" fontId="11" fillId="16" borderId="3" xfId="0" applyFont="1" applyFill="1" applyBorder="1" applyAlignment="1">
      <alignment horizontal="center" vertical="center"/>
    </xf>
    <xf numFmtId="0" fontId="11" fillId="16" borderId="4" xfId="0" applyFont="1" applyFill="1" applyBorder="1" applyAlignment="1">
      <alignment horizontal="center" vertical="center"/>
    </xf>
    <xf numFmtId="0" fontId="40" fillId="4" borderId="2" xfId="0" applyFont="1" applyFill="1" applyBorder="1" applyAlignment="1">
      <alignment horizontal="center"/>
    </xf>
    <xf numFmtId="0" fontId="40" fillId="4" borderId="3" xfId="0" applyFont="1" applyFill="1" applyBorder="1" applyAlignment="1">
      <alignment horizontal="center"/>
    </xf>
    <xf numFmtId="0" fontId="40" fillId="4" borderId="4" xfId="0" applyFont="1" applyFill="1" applyBorder="1" applyAlignment="1">
      <alignment horizontal="center"/>
    </xf>
    <xf numFmtId="0" fontId="2" fillId="17" borderId="23" xfId="0" applyFont="1" applyFill="1" applyBorder="1" applyAlignment="1">
      <alignment horizontal="center" wrapText="1"/>
    </xf>
    <xf numFmtId="0" fontId="2" fillId="17" borderId="22" xfId="0" applyFont="1" applyFill="1" applyBorder="1" applyAlignment="1">
      <alignment horizontal="center" wrapText="1"/>
    </xf>
    <xf numFmtId="0" fontId="22" fillId="0" borderId="0" xfId="0" applyFont="1" applyAlignment="1">
      <alignment horizontal="center"/>
    </xf>
    <xf numFmtId="0" fontId="1" fillId="17" borderId="20" xfId="0" applyFont="1" applyFill="1" applyBorder="1" applyAlignment="1">
      <alignment horizontal="center" wrapText="1"/>
    </xf>
    <xf numFmtId="0" fontId="1" fillId="17" borderId="22" xfId="0" applyFont="1" applyFill="1" applyBorder="1" applyAlignment="1">
      <alignment horizontal="center" wrapText="1"/>
    </xf>
    <xf numFmtId="0" fontId="0" fillId="0" borderId="0" xfId="0" applyAlignment="1">
      <alignment horizontal="center"/>
    </xf>
    <xf numFmtId="0" fontId="0" fillId="0" borderId="1" xfId="0" applyBorder="1"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4" xfId="0" applyFont="1" applyFill="1" applyBorder="1" applyAlignment="1">
      <alignment horizontal="center"/>
    </xf>
    <xf numFmtId="0" fontId="5" fillId="20" borderId="0" xfId="0" applyFont="1" applyFill="1" applyAlignment="1">
      <alignment horizontal="center"/>
    </xf>
    <xf numFmtId="0" fontId="0" fillId="20" borderId="0" xfId="0" applyFill="1" applyAlignment="1">
      <alignment horizontal="center"/>
    </xf>
    <xf numFmtId="0" fontId="1" fillId="20" borderId="0" xfId="0" applyFont="1" applyFill="1" applyAlignment="1">
      <alignment horizontal="center"/>
    </xf>
    <xf numFmtId="0" fontId="5" fillId="21" borderId="0" xfId="0" applyFont="1" applyFill="1" applyAlignment="1">
      <alignment horizontal="center" vertical="top"/>
    </xf>
    <xf numFmtId="0" fontId="18" fillId="20" borderId="0" xfId="0" applyFont="1" applyFill="1" applyAlignment="1">
      <alignment horizontal="center"/>
    </xf>
    <xf numFmtId="0" fontId="5" fillId="18" borderId="16" xfId="0" applyFont="1" applyFill="1" applyBorder="1" applyAlignment="1">
      <alignment horizontal="center"/>
    </xf>
    <xf numFmtId="0" fontId="5" fillId="18" borderId="17" xfId="0" applyFont="1" applyFill="1" applyBorder="1" applyAlignment="1">
      <alignment horizontal="center"/>
    </xf>
    <xf numFmtId="0" fontId="5" fillId="18" borderId="18" xfId="0" applyFont="1" applyFill="1" applyBorder="1" applyAlignment="1">
      <alignment horizontal="center"/>
    </xf>
  </cellXfs>
  <cellStyles count="4">
    <cellStyle name="Lien hypertexte" xfId="1" builtinId="8"/>
    <cellStyle name="Milliers" xfId="2" builtinId="3"/>
    <cellStyle name="Normal" xfId="0" builtinId="0"/>
    <cellStyle name="Pourcentage" xfId="3" builtinId="5"/>
  </cellStyles>
  <dxfs count="56">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11"/>
        <color theme="1"/>
        <name val="Calibri"/>
        <family val="2"/>
        <scheme val="minor"/>
      </font>
    </dxf>
    <dxf>
      <numFmt numFmtId="0" formatCode="General"/>
    </dxf>
    <dxf>
      <border diagonalUp="0" diagonalDown="0">
        <left/>
        <right/>
        <top style="thin">
          <color theme="4" tint="0.39997558519241921"/>
        </top>
        <bottom style="thin">
          <color theme="4" tint="0.39997558519241921"/>
        </bottom>
        <vertical/>
        <horizontal/>
      </border>
    </dxf>
    <dxf>
      <numFmt numFmtId="165" formatCode="0.0"/>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theme="4"/>
          <bgColor theme="4"/>
        </patternFill>
      </fill>
      <alignment horizontal="center" vertical="center" textRotation="0" wrapText="1" indent="0" justifyLastLine="0" shrinkToFit="0" readingOrder="0"/>
    </dxf>
    <dxf>
      <numFmt numFmtId="164" formatCode="0.000"/>
    </dxf>
    <dxf>
      <numFmt numFmtId="164" formatCode="0.000"/>
    </dxf>
    <dxf>
      <numFmt numFmtId="164" formatCode="0.000"/>
    </dxf>
    <dxf>
      <numFmt numFmtId="164" formatCode="0.000"/>
    </dxf>
    <dxf>
      <font>
        <strike val="0"/>
        <outline val="0"/>
        <shadow val="0"/>
        <u val="none"/>
        <vertAlign val="baseline"/>
        <sz val="16"/>
        <color theme="1"/>
        <name val="Calibri"/>
        <family val="2"/>
        <scheme val="minor"/>
      </font>
    </dxf>
    <dxf>
      <numFmt numFmtId="0" formatCode="General"/>
    </dxf>
    <dxf>
      <font>
        <b val="0"/>
        <i val="0"/>
        <strike val="0"/>
        <condense val="0"/>
        <extend val="0"/>
        <outline val="0"/>
        <shadow val="0"/>
        <u val="none"/>
        <vertAlign val="baseline"/>
        <sz val="11"/>
        <color auto="1"/>
        <name val="Calibri"/>
        <family val="2"/>
        <scheme val="minor"/>
      </font>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family val="2"/>
        <scheme val="minor"/>
      </font>
      <numFmt numFmtId="30" formatCode="@"/>
    </dxf>
    <dxf>
      <numFmt numFmtId="30" formatCode="@"/>
    </dxf>
    <dxf>
      <font>
        <strike val="0"/>
        <outline val="0"/>
        <shadow val="0"/>
        <u val="none"/>
        <vertAlign val="baseline"/>
        <sz val="20"/>
        <color theme="1"/>
        <name val="Calibri"/>
        <family val="2"/>
        <scheme val="minor"/>
      </font>
    </dxf>
    <dxf>
      <font>
        <strike val="0"/>
        <outline val="0"/>
        <shadow val="0"/>
        <u val="none"/>
        <vertAlign val="baseline"/>
        <sz val="11"/>
        <color rgb="FF0070C0"/>
        <name val="Calibri"/>
        <family val="2"/>
        <scheme val="minor"/>
      </font>
      <numFmt numFmtId="0" formatCode="General"/>
    </dxf>
    <dxf>
      <font>
        <strike val="0"/>
        <outline val="0"/>
        <shadow val="0"/>
        <u val="none"/>
        <vertAlign val="baseline"/>
        <sz val="11"/>
        <color rgb="FF0070C0"/>
        <name val="Calibri"/>
        <family val="2"/>
        <scheme val="minor"/>
      </font>
      <numFmt numFmtId="0" formatCode="General"/>
    </dxf>
    <dxf>
      <font>
        <b/>
      </font>
      <alignment horizontal="center" vertical="center" textRotation="0" wrapText="0" indent="0" justifyLastLine="0" shrinkToFit="0" readingOrder="0"/>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1" defaultTableStyle="TableStyleMedium2" defaultPivotStyle="PivotStyleLight16">
    <tableStyle name="Invisible" pivot="0" table="0" count="0" xr9:uid="{AC0F275F-8B6D-4E7E-B04F-5B1DCC345A29}"/>
  </tableStyles>
  <colors>
    <mruColors>
      <color rgb="FFFF99CC"/>
      <color rgb="FFECF5E7"/>
      <color rgb="FFE6F7FA"/>
      <color rgb="FFCC9900"/>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a:t>CO2eq (kg) </a:t>
            </a:r>
          </a:p>
        </c:rich>
      </c:tx>
      <c:layout>
        <c:manualLayout>
          <c:xMode val="edge"/>
          <c:yMode val="edge"/>
          <c:x val="0.4460074508940115"/>
          <c:y val="2.8088574798671497E-4"/>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9374642451324951E-2"/>
          <c:y val="0.20728265910176569"/>
          <c:w val="0.9340268471582357"/>
          <c:h val="0.63279019911820344"/>
        </c:manualLayout>
      </c:layout>
      <c:barChart>
        <c:barDir val="bar"/>
        <c:grouping val="stacked"/>
        <c:varyColors val="0"/>
        <c:ser>
          <c:idx val="0"/>
          <c:order val="0"/>
          <c:tx>
            <c:strRef>
              <c:f>'Calculateur - trajet'!$C$27</c:f>
              <c:strCache>
                <c:ptCount val="1"/>
                <c:pt idx="0">
                  <c:v>Directe</c:v>
                </c:pt>
              </c:strCache>
            </c:strRef>
          </c:tx>
          <c:spPr>
            <a:solidFill>
              <a:schemeClr val="accent2"/>
            </a:solidFill>
            <a:ln>
              <a:noFill/>
            </a:ln>
            <a:effectLst/>
          </c:spPr>
          <c:invertIfNegative val="0"/>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0-D476-47EF-9083-E24D4001F7A4}"/>
              </c:ext>
            </c:extLst>
          </c:dPt>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trajet'!$E$27:$M$27</c15:sqref>
                  </c15:fullRef>
                </c:ext>
              </c:extLst>
              <c:f>('Calculateur - trajet'!$E$27,'Calculateur - trajet'!$G$27,'Calculateur - trajet'!$I$27,'Calculateur - trajet'!$K$27,'Calculateur - trajet'!$M$27)</c:f>
              <c:numCache>
                <c:formatCode>General</c:formatCode>
                <c:ptCount val="5"/>
                <c:pt idx="0" formatCode="0.00">
                  <c:v>10784</c:v>
                </c:pt>
                <c:pt idx="1" formatCode="0.00">
                  <c:v>321.39999999999998</c:v>
                </c:pt>
                <c:pt idx="2" formatCode="0.00">
                  <c:v>193.6</c:v>
                </c:pt>
                <c:pt idx="3" formatCode="0.00">
                  <c:v>222.7</c:v>
                </c:pt>
              </c:numCache>
            </c:numRef>
          </c:val>
          <c:extLst>
            <c:ext xmlns:c16="http://schemas.microsoft.com/office/drawing/2014/chart" uri="{C3380CC4-5D6E-409C-BE32-E72D297353CC}">
              <c16:uniqueId val="{00000000-20B2-4398-97C3-11F102982BD8}"/>
            </c:ext>
          </c:extLst>
        </c:ser>
        <c:ser>
          <c:idx val="1"/>
          <c:order val="1"/>
          <c:tx>
            <c:strRef>
              <c:f>'Calculateur - trajet'!$C$28</c:f>
              <c:strCache>
                <c:ptCount val="1"/>
                <c:pt idx="0">
                  <c:v>Indirecte</c:v>
                </c:pt>
              </c:strCache>
            </c:strRef>
          </c:tx>
          <c:spPr>
            <a:solidFill>
              <a:schemeClr val="accent2">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trajet'!$E$28:$M$28</c15:sqref>
                  </c15:fullRef>
                </c:ext>
              </c:extLst>
              <c:f>('Calculateur - trajet'!$E$28,'Calculateur - trajet'!$G$28,'Calculateur - trajet'!$I$28,'Calculateur - trajet'!$K$28,'Calculateur - trajet'!$M$28)</c:f>
              <c:numCache>
                <c:formatCode>General</c:formatCode>
                <c:ptCount val="5"/>
                <c:pt idx="0" formatCode="0.00">
                  <c:v>3445.9999999999991</c:v>
                </c:pt>
                <c:pt idx="1" formatCode="0.00">
                  <c:v>102.19999999999999</c:v>
                </c:pt>
                <c:pt idx="2" formatCode="0.00">
                  <c:v>61.500000000000021</c:v>
                </c:pt>
                <c:pt idx="3" formatCode="0.00">
                  <c:v>70.800000000000011</c:v>
                </c:pt>
              </c:numCache>
            </c:numRef>
          </c:val>
          <c:extLst>
            <c:ext xmlns:c16="http://schemas.microsoft.com/office/drawing/2014/chart" uri="{C3380CC4-5D6E-409C-BE32-E72D297353CC}">
              <c16:uniqueId val="{00000001-20B2-4398-97C3-11F102982BD8}"/>
            </c:ext>
          </c:extLst>
        </c:ser>
        <c:ser>
          <c:idx val="2"/>
          <c:order val="2"/>
          <c:tx>
            <c:strRef>
              <c:f>'Calculateur - trajet'!$C$29</c:f>
              <c:strCache>
                <c:ptCount val="1"/>
                <c:pt idx="0">
                  <c:v>Totale</c:v>
                </c:pt>
              </c:strCache>
            </c:strRef>
          </c:tx>
          <c:spPr>
            <a:solidFill>
              <a:schemeClr val="accent2">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trajet'!$E$29:$M$29</c15:sqref>
                  </c15:fullRef>
                </c:ext>
              </c:extLst>
              <c:f>('Calculateur - trajet'!$E$29,'Calculateur - trajet'!$G$29,'Calculateur - trajet'!$I$29,'Calculateur - trajet'!$K$29,'Calculateur - trajet'!$M$29)</c:f>
              <c:numCache>
                <c:formatCode>General</c:formatCode>
                <c:ptCount val="5"/>
                <c:pt idx="4">
                  <c:v>101.27</c:v>
                </c:pt>
              </c:numCache>
            </c:numRef>
          </c:val>
          <c:extLst>
            <c:ext xmlns:c16="http://schemas.microsoft.com/office/drawing/2014/chart" uri="{C3380CC4-5D6E-409C-BE32-E72D297353CC}">
              <c16:uniqueId val="{00000001-D476-47EF-9083-E24D4001F7A4}"/>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81226782448749246"/>
          <c:y val="4.6742473821228508E-2"/>
          <c:w val="0.1877321520698591"/>
          <c:h val="0.1098485391858755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eqCO2</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2"/>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trajet'!$O$27,'Calculateur - trajet'!$Q$27)</c:f>
              <c:numCache>
                <c:formatCode>0.00</c:formatCode>
                <c:ptCount val="2"/>
                <c:pt idx="0" formatCode="0.0">
                  <c:v>11622.970000000001</c:v>
                </c:pt>
                <c:pt idx="1">
                  <c:v>0</c:v>
                </c:pt>
              </c:numCache>
            </c:numRef>
          </c:val>
          <c:extLst>
            <c:ext xmlns:c16="http://schemas.microsoft.com/office/drawing/2014/chart" uri="{C3380CC4-5D6E-409C-BE32-E72D297353CC}">
              <c16:uniqueId val="{00000000-42B3-45A8-8540-C2BA2AAB53F0}"/>
            </c:ext>
          </c:extLst>
        </c:ser>
        <c:ser>
          <c:idx val="1"/>
          <c:order val="1"/>
          <c:tx>
            <c:strRef>
              <c:f>'Calculateur - trajet'!$C$28</c:f>
              <c:strCache>
                <c:ptCount val="1"/>
                <c:pt idx="0">
                  <c:v>Indirecte</c:v>
                </c:pt>
              </c:strCache>
            </c:strRef>
          </c:tx>
          <c:spPr>
            <a:solidFill>
              <a:schemeClr val="accent2">
                <a:lumMod val="20000"/>
                <a:lumOff val="8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trajet'!$O$28,'Calculateur - trajet'!$Q$28)</c:f>
              <c:numCache>
                <c:formatCode>0.00</c:formatCode>
                <c:ptCount val="2"/>
                <c:pt idx="0" formatCode="0.0">
                  <c:v>3680.4999999999991</c:v>
                </c:pt>
                <c:pt idx="1">
                  <c:v>0</c:v>
                </c:pt>
              </c:numCache>
            </c:numRef>
          </c:val>
          <c:extLst>
            <c:ext xmlns:c16="http://schemas.microsoft.com/office/drawing/2014/chart" uri="{C3380CC4-5D6E-409C-BE32-E72D297353CC}">
              <c16:uniqueId val="{00000001-42B3-45A8-8540-C2BA2AAB53F0}"/>
            </c:ext>
          </c:extLst>
        </c:ser>
        <c:ser>
          <c:idx val="2"/>
          <c:order val="2"/>
          <c:tx>
            <c:strRef>
              <c:f>'Calculateur - trajet'!$M$4</c:f>
              <c:strCache>
                <c:ptCount val="1"/>
                <c:pt idx="0">
                  <c:v>T</c:v>
                </c:pt>
              </c:strCache>
            </c:strRef>
          </c:tx>
          <c:spPr>
            <a:solidFill>
              <a:schemeClr val="accent2">
                <a:lumMod val="75000"/>
              </a:schemeClr>
            </a:solidFill>
            <a:ln>
              <a:noFill/>
            </a:ln>
            <a:effectLst/>
          </c:spPr>
          <c:invertIfNegative val="0"/>
          <c:val>
            <c:numRef>
              <c:f>('Calculateur - trajet'!$O$29,'Calculateur - trajet'!$Q$29)</c:f>
              <c:numCache>
                <c:formatCode>0.00</c:formatCode>
                <c:ptCount val="2"/>
                <c:pt idx="0" formatCode="0.0">
                  <c:v>101.27</c:v>
                </c:pt>
                <c:pt idx="1">
                  <c:v>0</c:v>
                </c:pt>
              </c:numCache>
            </c:numRef>
          </c:val>
          <c:extLst>
            <c:ext xmlns:c16="http://schemas.microsoft.com/office/drawing/2014/chart" uri="{C3380CC4-5D6E-409C-BE32-E72D297353CC}">
              <c16:uniqueId val="{00000000-7A6D-45D9-9CA3-3BC94CB2F41E}"/>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36876523801276323"/>
          <c:y val="4.6717606813155579E-2"/>
          <c:w val="0.58628578851303637"/>
          <c:h val="6.6919849044685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a:t>CO2eq (kg) </a:t>
            </a:r>
          </a:p>
        </c:rich>
      </c:tx>
      <c:layout>
        <c:manualLayout>
          <c:xMode val="edge"/>
          <c:yMode val="edge"/>
          <c:x val="0.46911675735285668"/>
          <c:y val="2.3788488098139573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9374642451324951E-2"/>
          <c:y val="0.20728265910176569"/>
          <c:w val="0.9340268471582357"/>
          <c:h val="0.63279019911820344"/>
        </c:manualLayout>
      </c:layout>
      <c:barChart>
        <c:barDir val="bar"/>
        <c:grouping val="stacked"/>
        <c:varyColors val="0"/>
        <c:ser>
          <c:idx val="0"/>
          <c:order val="0"/>
          <c:tx>
            <c:strRef>
              <c:f>'Calculateur- Conso'!$C$17</c:f>
              <c:strCache>
                <c:ptCount val="1"/>
                <c:pt idx="0">
                  <c:v>Directe</c:v>
                </c:pt>
              </c:strCache>
            </c:strRef>
          </c:tx>
          <c:spPr>
            <a:solidFill>
              <a:schemeClr val="accent2"/>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Conso'!$E$17:$M$17</c15:sqref>
                  </c15:fullRef>
                </c:ext>
              </c:extLst>
              <c:f>('Calculateur- Conso'!$E$17,'Calculateur- Conso'!$G$17,'Calculateur- Conso'!$I$17,'Calculateur- Conso'!$K$17,'Calculateur- Conso'!$M$17)</c:f>
              <c:numCache>
                <c:formatCode>General</c:formatCode>
                <c:ptCount val="5"/>
                <c:pt idx="0" formatCode="0.00">
                  <c:v>251.66399999999999</c:v>
                </c:pt>
                <c:pt idx="1" formatCode="0.00">
                  <c:v>300.27110399999992</c:v>
                </c:pt>
                <c:pt idx="2" formatCode="0.00">
                  <c:v>0</c:v>
                </c:pt>
                <c:pt idx="3" formatCode="0.00">
                  <c:v>375.33887999999996</c:v>
                </c:pt>
              </c:numCache>
            </c:numRef>
          </c:val>
          <c:extLst>
            <c:ext xmlns:c16="http://schemas.microsoft.com/office/drawing/2014/chart" uri="{C3380CC4-5D6E-409C-BE32-E72D297353CC}">
              <c16:uniqueId val="{00000000-D6BF-4E75-AB59-9AE755C18E1D}"/>
            </c:ext>
          </c:extLst>
        </c:ser>
        <c:ser>
          <c:idx val="1"/>
          <c:order val="1"/>
          <c:tx>
            <c:strRef>
              <c:f>'Calculateur- Conso'!$C$18</c:f>
              <c:strCache>
                <c:ptCount val="1"/>
                <c:pt idx="0">
                  <c:v>Indirecte</c:v>
                </c:pt>
              </c:strCache>
            </c:strRef>
          </c:tx>
          <c:spPr>
            <a:solidFill>
              <a:schemeClr val="accent2">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Conso'!$E$18:$M$18</c15:sqref>
                  </c15:fullRef>
                </c:ext>
              </c:extLst>
              <c:f>('Calculateur- Conso'!$E$18,'Calculateur- Conso'!$G$18,'Calculateur- Conso'!$I$18,'Calculateur- Conso'!$K$18,'Calculateur- Conso'!$M$18)</c:f>
              <c:numCache>
                <c:formatCode>General</c:formatCode>
                <c:ptCount val="5"/>
                <c:pt idx="0" formatCode="0.00">
                  <c:v>79.453919999999997</c:v>
                </c:pt>
                <c:pt idx="1" formatCode="0.00">
                  <c:v>95.344703999999993</c:v>
                </c:pt>
                <c:pt idx="2" formatCode="0.00">
                  <c:v>0</c:v>
                </c:pt>
                <c:pt idx="3" formatCode="0.00">
                  <c:v>119.18087999999999</c:v>
                </c:pt>
              </c:numCache>
            </c:numRef>
          </c:val>
          <c:extLst>
            <c:ext xmlns:c16="http://schemas.microsoft.com/office/drawing/2014/chart" uri="{C3380CC4-5D6E-409C-BE32-E72D297353CC}">
              <c16:uniqueId val="{00000001-D6BF-4E75-AB59-9AE755C18E1D}"/>
            </c:ext>
          </c:extLst>
        </c:ser>
        <c:ser>
          <c:idx val="2"/>
          <c:order val="2"/>
          <c:tx>
            <c:strRef>
              <c:f>'Calculateur- Conso'!$C$19</c:f>
              <c:strCache>
                <c:ptCount val="1"/>
                <c:pt idx="0">
                  <c:v>Totale</c:v>
                </c:pt>
              </c:strCache>
            </c:strRef>
          </c:tx>
          <c:spPr>
            <a:solidFill>
              <a:schemeClr val="accent2">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Conso'!$E$19:$M$19</c15:sqref>
                  </c15:fullRef>
                </c:ext>
              </c:extLst>
              <c:f>('Calculateur- Conso'!$E$19,'Calculateur- Conso'!$G$19,'Calculateur- Conso'!$I$19,'Calculateur- Conso'!$K$19,'Calculateur- Conso'!$M$19)</c:f>
              <c:numCache>
                <c:formatCode>General</c:formatCode>
                <c:ptCount val="5"/>
                <c:pt idx="4">
                  <c:v>418.32300000000004</c:v>
                </c:pt>
              </c:numCache>
            </c:numRef>
          </c:val>
          <c:extLst>
            <c:ext xmlns:c16="http://schemas.microsoft.com/office/drawing/2014/chart" uri="{C3380CC4-5D6E-409C-BE32-E72D297353CC}">
              <c16:uniqueId val="{00000000-8E38-4480-85CE-A3BA9A7A48CB}"/>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81226782448749246"/>
          <c:y val="4.6742473821228508E-2"/>
          <c:w val="0.14000911450314518"/>
          <c:h val="8.567044244325600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SO2 (g)</a:t>
            </a:r>
          </a:p>
        </c:rich>
      </c:tx>
      <c:layout>
        <c:manualLayout>
          <c:xMode val="edge"/>
          <c:yMode val="edge"/>
          <c:x val="2.7585672335922011E-2"/>
          <c:y val="4.385801330797165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Conso'!$C$21</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Conso'!$E$21:$M$21</c15:sqref>
                  </c15:fullRef>
                </c:ext>
              </c:extLst>
              <c:f>('Calculateur- Conso'!$E$21,'Calculateur- Conso'!$G$21,'Calculateur- Conso'!$I$21,'Calculateur- Conso'!$K$21,'Calculateur- Conso'!$M$21)</c:f>
              <c:numCache>
                <c:formatCode>General</c:formatCode>
                <c:ptCount val="5"/>
                <c:pt idx="0" formatCode="0.00">
                  <c:v>1.5818879999999997</c:v>
                </c:pt>
                <c:pt idx="1" formatCode="0.00">
                  <c:v>1.8982655999999996</c:v>
                </c:pt>
                <c:pt idx="2" formatCode="0.00">
                  <c:v>0</c:v>
                </c:pt>
                <c:pt idx="3" formatCode="0.00">
                  <c:v>2.3728319999999994</c:v>
                </c:pt>
              </c:numCache>
            </c:numRef>
          </c:val>
          <c:extLst>
            <c:ext xmlns:c16="http://schemas.microsoft.com/office/drawing/2014/chart" uri="{C3380CC4-5D6E-409C-BE32-E72D297353CC}">
              <c16:uniqueId val="{00000000-9C23-4670-B881-3187449FF6BC}"/>
            </c:ext>
          </c:extLst>
        </c:ser>
        <c:ser>
          <c:idx val="1"/>
          <c:order val="1"/>
          <c:tx>
            <c:strRef>
              <c:f>'Calculateur- Conso'!$C$22</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Conso'!$E$22:$M$22</c15:sqref>
                  </c15:fullRef>
                </c:ext>
              </c:extLst>
              <c:f>('Calculateur- Conso'!$E$22,'Calculateur- Conso'!$G$22,'Calculateur- Conso'!$I$22,'Calculateur- Conso'!$K$22,'Calculateur- Conso'!$M$22)</c:f>
              <c:numCache>
                <c:formatCode>General</c:formatCode>
                <c:ptCount val="5"/>
                <c:pt idx="0" formatCode="0.00">
                  <c:v>337.94880000000001</c:v>
                </c:pt>
                <c:pt idx="1" formatCode="0.00">
                  <c:v>405.53855999999996</c:v>
                </c:pt>
                <c:pt idx="2" formatCode="0.00">
                  <c:v>0</c:v>
                </c:pt>
                <c:pt idx="3" formatCode="0.00">
                  <c:v>506.92319999999995</c:v>
                </c:pt>
              </c:numCache>
            </c:numRef>
          </c:val>
          <c:extLst>
            <c:ext xmlns:c16="http://schemas.microsoft.com/office/drawing/2014/chart" uri="{C3380CC4-5D6E-409C-BE32-E72D297353CC}">
              <c16:uniqueId val="{00000001-9C23-4670-B881-3187449FF6BC}"/>
            </c:ext>
          </c:extLst>
        </c:ser>
        <c:ser>
          <c:idx val="2"/>
          <c:order val="2"/>
          <c:tx>
            <c:strRef>
              <c:f>'Calculateur- Conso'!$C$23</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Conso'!$E$23:$M$23</c15:sqref>
                  </c15:fullRef>
                </c:ext>
              </c:extLst>
              <c:f>('Calculateur- Conso'!$E$23,'Calculateur- Conso'!$G$23,'Calculateur- Conso'!$I$23,'Calculateur- Conso'!$K$23,'Calculateur- Conso'!$M$23)</c:f>
              <c:numCache>
                <c:formatCode>General</c:formatCode>
                <c:ptCount val="5"/>
                <c:pt idx="4">
                  <c:v>2.6849999999999999E-3</c:v>
                </c:pt>
              </c:numCache>
            </c:numRef>
          </c:val>
          <c:extLst>
            <c:ext xmlns:c16="http://schemas.microsoft.com/office/drawing/2014/chart" uri="{C3380CC4-5D6E-409C-BE32-E72D297353CC}">
              <c16:uniqueId val="{00000000-3ED5-4235-8559-5084D25C3442}"/>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7053646757195875"/>
          <c:y val="0.10618128623466178"/>
          <c:w val="0.36925896588953844"/>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baseline="0"/>
              <a:t>PM10 (g)</a:t>
            </a:r>
            <a:r>
              <a:rPr lang="fr-BE" b="1" baseline="0"/>
              <a:t> </a:t>
            </a:r>
            <a:endParaRPr lang="fr-BE" b="1"/>
          </a:p>
        </c:rich>
      </c:tx>
      <c:layout>
        <c:manualLayout>
          <c:xMode val="edge"/>
          <c:yMode val="edge"/>
          <c:x val="0"/>
          <c:y val="2.7164341155945281E-3"/>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Conso'!$C$25</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Conso'!$E$25:$M$25</c15:sqref>
                  </c15:fullRef>
                </c:ext>
              </c:extLst>
              <c:f>('Calculateur- Conso'!$E$25,'Calculateur- Conso'!$G$25,'Calculateur- Conso'!$I$25,'Calculateur- Conso'!$K$25,'Calculateur- Conso'!$M$25)</c:f>
              <c:numCache>
                <c:formatCode>General</c:formatCode>
                <c:ptCount val="5"/>
                <c:pt idx="0" formatCode="0.00">
                  <c:v>0</c:v>
                </c:pt>
                <c:pt idx="1" formatCode="0.00">
                  <c:v>0</c:v>
                </c:pt>
                <c:pt idx="2" formatCode="0.00">
                  <c:v>0</c:v>
                </c:pt>
                <c:pt idx="3" formatCode="0.00">
                  <c:v>0</c:v>
                </c:pt>
              </c:numCache>
            </c:numRef>
          </c:val>
          <c:extLst>
            <c:ext xmlns:c16="http://schemas.microsoft.com/office/drawing/2014/chart" uri="{C3380CC4-5D6E-409C-BE32-E72D297353CC}">
              <c16:uniqueId val="{00000000-2143-4F6D-8246-FCDCF51B5301}"/>
            </c:ext>
          </c:extLst>
        </c:ser>
        <c:ser>
          <c:idx val="1"/>
          <c:order val="1"/>
          <c:tx>
            <c:strRef>
              <c:f>'Calculateur- Conso'!$C$26</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Conso'!$E$26:$M$26</c15:sqref>
                  </c15:fullRef>
                </c:ext>
              </c:extLst>
              <c:f>('Calculateur- Conso'!$E$26,'Calculateur- Conso'!$G$26,'Calculateur- Conso'!$I$26,'Calculateur- Conso'!$K$26,'Calculateur- Conso'!$M$26)</c:f>
              <c:numCache>
                <c:formatCode>General</c:formatCode>
                <c:ptCount val="5"/>
                <c:pt idx="0" formatCode="0.00">
                  <c:v>14.380799999999999</c:v>
                </c:pt>
                <c:pt idx="1" formatCode="0.00">
                  <c:v>17.256959999999999</c:v>
                </c:pt>
                <c:pt idx="2" formatCode="0.00">
                  <c:v>0</c:v>
                </c:pt>
                <c:pt idx="3" formatCode="0.00">
                  <c:v>21.571199999999997</c:v>
                </c:pt>
              </c:numCache>
            </c:numRef>
          </c:val>
          <c:extLst>
            <c:ext xmlns:c16="http://schemas.microsoft.com/office/drawing/2014/chart" uri="{C3380CC4-5D6E-409C-BE32-E72D297353CC}">
              <c16:uniqueId val="{00000001-2143-4F6D-8246-FCDCF51B5301}"/>
            </c:ext>
          </c:extLst>
        </c:ser>
        <c:ser>
          <c:idx val="2"/>
          <c:order val="2"/>
          <c:tx>
            <c:strRef>
              <c:f>'Calculateur- Conso'!$C$27</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Conso'!$E$27:$M$27</c15:sqref>
                  </c15:fullRef>
                </c:ext>
              </c:extLst>
              <c:f>('Calculateur- Conso'!$E$27,'Calculateur- Conso'!$G$27,'Calculateur- Conso'!$I$27,'Calculateur- Conso'!$K$27,'Calculateur- Conso'!$M$27)</c:f>
              <c:numCache>
                <c:formatCode>General</c:formatCode>
                <c:ptCount val="5"/>
                <c:pt idx="4">
                  <c:v>9.129000000000001E-2</c:v>
                </c:pt>
              </c:numCache>
            </c:numRef>
          </c:val>
          <c:extLst>
            <c:ext xmlns:c16="http://schemas.microsoft.com/office/drawing/2014/chart" uri="{C3380CC4-5D6E-409C-BE32-E72D297353CC}">
              <c16:uniqueId val="{00000000-DA82-4325-BAB3-3F65F69B578B}"/>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536320191158906"/>
          <c:y val="0.10114175876849461"/>
          <c:w val="0.37169277715718063"/>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NOX (g)</a:t>
            </a:r>
          </a:p>
        </c:rich>
      </c:tx>
      <c:layout>
        <c:manualLayout>
          <c:xMode val="edge"/>
          <c:yMode val="edge"/>
          <c:x val="1.2493130227001197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Conso'!$C$29</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Conso'!$E$29:$M$29</c15:sqref>
                  </c15:fullRef>
                </c:ext>
              </c:extLst>
              <c:f>('Calculateur- Conso'!$E$29,'Calculateur- Conso'!$G$29,'Calculateur- Conso'!$I$29,'Calculateur- Conso'!$K$29,'Calculateur- Conso'!$M$29)</c:f>
              <c:numCache>
                <c:formatCode>General</c:formatCode>
                <c:ptCount val="5"/>
                <c:pt idx="0" formatCode="0.00">
                  <c:v>0</c:v>
                </c:pt>
                <c:pt idx="1" formatCode="0.00">
                  <c:v>0</c:v>
                </c:pt>
                <c:pt idx="2" formatCode="0.00">
                  <c:v>0</c:v>
                </c:pt>
                <c:pt idx="3" formatCode="0.00">
                  <c:v>0</c:v>
                </c:pt>
              </c:numCache>
            </c:numRef>
          </c:val>
          <c:extLst>
            <c:ext xmlns:c16="http://schemas.microsoft.com/office/drawing/2014/chart" uri="{C3380CC4-5D6E-409C-BE32-E72D297353CC}">
              <c16:uniqueId val="{00000000-277D-41B0-B265-322420B2C5CD}"/>
            </c:ext>
          </c:extLst>
        </c:ser>
        <c:ser>
          <c:idx val="1"/>
          <c:order val="1"/>
          <c:tx>
            <c:strRef>
              <c:f>'Calculateur- Conso'!$C$30</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Conso'!$E$30:$M$30</c15:sqref>
                  </c15:fullRef>
                </c:ext>
              </c:extLst>
              <c:f>('Calculateur- Conso'!$E$30,'Calculateur- Conso'!$G$30,'Calculateur- Conso'!$I$30,'Calculateur- Conso'!$K$30,'Calculateur- Conso'!$M$30)</c:f>
              <c:numCache>
                <c:formatCode>General</c:formatCode>
                <c:ptCount val="5"/>
                <c:pt idx="0" formatCode="0.00">
                  <c:v>118.6416</c:v>
                </c:pt>
                <c:pt idx="1" formatCode="0.00">
                  <c:v>142.36991999999998</c:v>
                </c:pt>
                <c:pt idx="2" formatCode="0.00">
                  <c:v>0</c:v>
                </c:pt>
                <c:pt idx="3" formatCode="0.00">
                  <c:v>177.96239999999997</c:v>
                </c:pt>
              </c:numCache>
            </c:numRef>
          </c:val>
          <c:extLst>
            <c:ext xmlns:c16="http://schemas.microsoft.com/office/drawing/2014/chart" uri="{C3380CC4-5D6E-409C-BE32-E72D297353CC}">
              <c16:uniqueId val="{00000001-277D-41B0-B265-322420B2C5CD}"/>
            </c:ext>
          </c:extLst>
        </c:ser>
        <c:ser>
          <c:idx val="2"/>
          <c:order val="2"/>
          <c:tx>
            <c:strRef>
              <c:f>'Calculateur- Conso'!$C$31</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Conso'!$E$31:$M$31</c15:sqref>
                  </c15:fullRef>
                </c:ext>
              </c:extLst>
              <c:f>('Calculateur- Conso'!$E$31,'Calculateur- Conso'!$G$31,'Calculateur- Conso'!$I$31,'Calculateur- Conso'!$K$31,'Calculateur- Conso'!$M$31)</c:f>
              <c:numCache>
                <c:formatCode>General</c:formatCode>
                <c:ptCount val="5"/>
                <c:pt idx="4">
                  <c:v>1.69692</c:v>
                </c:pt>
              </c:numCache>
            </c:numRef>
          </c:val>
          <c:extLst>
            <c:ext xmlns:c16="http://schemas.microsoft.com/office/drawing/2014/chart" uri="{C3380CC4-5D6E-409C-BE32-E72D297353CC}">
              <c16:uniqueId val="{00000000-3E98-4BB9-B05F-EB83E4333D80}"/>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0.10179548490386461"/>
          <c:w val="0.36990993683930129"/>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eqCO2</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2"/>
            </a:solidFill>
            <a:ln>
              <a:noFill/>
            </a:ln>
            <a:effectLst/>
          </c:spPr>
          <c:invertIfNegative val="0"/>
          <c:cat>
            <c:strRef>
              <c:f>('Calculateur- Conso'!$C$4,'Calculateur- Conso'!$P$4)</c:f>
              <c:strCache>
                <c:ptCount val="2"/>
                <c:pt idx="0">
                  <c:v>Intermodalité </c:v>
                </c:pt>
                <c:pt idx="1">
                  <c:v>Scénario full Route </c:v>
                </c:pt>
              </c:strCache>
            </c:strRef>
          </c:cat>
          <c:val>
            <c:numRef>
              <c:f>'Calculateur- Conso'!$O$17:$P$17</c:f>
              <c:numCache>
                <c:formatCode>0.00</c:formatCode>
                <c:ptCount val="2"/>
                <c:pt idx="0">
                  <c:v>927.27398399999993</c:v>
                </c:pt>
                <c:pt idx="1">
                  <c:v>754.99199999999996</c:v>
                </c:pt>
              </c:numCache>
            </c:numRef>
          </c:val>
          <c:extLst>
            <c:ext xmlns:c16="http://schemas.microsoft.com/office/drawing/2014/chart" uri="{C3380CC4-5D6E-409C-BE32-E72D297353CC}">
              <c16:uniqueId val="{00000000-A4CC-42C5-A80A-324BE79F016F}"/>
            </c:ext>
          </c:extLst>
        </c:ser>
        <c:ser>
          <c:idx val="1"/>
          <c:order val="1"/>
          <c:tx>
            <c:strRef>
              <c:f>'Calculateur- Conso'!$C$18</c:f>
              <c:strCache>
                <c:ptCount val="1"/>
                <c:pt idx="0">
                  <c:v>Indirecte</c:v>
                </c:pt>
              </c:strCache>
            </c:strRef>
          </c:tx>
          <c:spPr>
            <a:solidFill>
              <a:schemeClr val="accent2">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Conso'!$O$18,'Calculateur- Conso'!$P$18)</c:f>
              <c:numCache>
                <c:formatCode>0.00</c:formatCode>
                <c:ptCount val="2"/>
                <c:pt idx="0">
                  <c:v>293.97950399999996</c:v>
                </c:pt>
                <c:pt idx="1">
                  <c:v>238.36175999999998</c:v>
                </c:pt>
              </c:numCache>
            </c:numRef>
          </c:val>
          <c:extLst>
            <c:ext xmlns:c16="http://schemas.microsoft.com/office/drawing/2014/chart" uri="{C3380CC4-5D6E-409C-BE32-E72D297353CC}">
              <c16:uniqueId val="{00000001-A4CC-42C5-A80A-324BE79F016F}"/>
            </c:ext>
          </c:extLst>
        </c:ser>
        <c:ser>
          <c:idx val="2"/>
          <c:order val="2"/>
          <c:tx>
            <c:strRef>
              <c:f>'Calculateur- Conso'!$C$19</c:f>
              <c:strCache>
                <c:ptCount val="1"/>
                <c:pt idx="0">
                  <c:v>Totale</c:v>
                </c:pt>
              </c:strCache>
            </c:strRef>
          </c:tx>
          <c:spPr>
            <a:solidFill>
              <a:schemeClr val="accent2">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Conso'!$M$19,'Calculateur- Conso'!$P$19)</c:f>
              <c:numCache>
                <c:formatCode>General</c:formatCode>
                <c:ptCount val="2"/>
                <c:pt idx="0">
                  <c:v>418.32300000000004</c:v>
                </c:pt>
              </c:numCache>
            </c:numRef>
          </c:val>
          <c:extLst>
            <c:ext xmlns:c16="http://schemas.microsoft.com/office/drawing/2014/chart" uri="{C3380CC4-5D6E-409C-BE32-E72D297353CC}">
              <c16:uniqueId val="{00000000-CFCF-4841-944B-A326C45553E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599066783318741"/>
          <c:y val="6.2738732518791543E-2"/>
          <c:w val="0.43400933216681248"/>
          <c:h val="4.37250046211230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SO2</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Conso'!$O$21:$P$21</c:f>
              <c:numCache>
                <c:formatCode>0.00</c:formatCode>
                <c:ptCount val="2"/>
                <c:pt idx="0">
                  <c:v>5.8529855999999985</c:v>
                </c:pt>
                <c:pt idx="1">
                  <c:v>4.7456639999999988</c:v>
                </c:pt>
              </c:numCache>
            </c:numRef>
          </c:val>
          <c:extLst>
            <c:ext xmlns:c16="http://schemas.microsoft.com/office/drawing/2014/chart" uri="{C3380CC4-5D6E-409C-BE32-E72D297353CC}">
              <c16:uniqueId val="{00000000-B397-4E33-BB0F-A6CC3545F36F}"/>
            </c:ext>
          </c:extLst>
        </c:ser>
        <c:ser>
          <c:idx val="1"/>
          <c:order val="1"/>
          <c:tx>
            <c:strRef>
              <c:f>'Calculateur- Conso'!$C$22</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Conso'!$O$22:$P$22</c:f>
              <c:numCache>
                <c:formatCode>0.00</c:formatCode>
                <c:ptCount val="2"/>
                <c:pt idx="0">
                  <c:v>1250.4105599999998</c:v>
                </c:pt>
                <c:pt idx="1">
                  <c:v>1013.8463999999999</c:v>
                </c:pt>
              </c:numCache>
            </c:numRef>
          </c:val>
          <c:extLst>
            <c:ext xmlns:c16="http://schemas.microsoft.com/office/drawing/2014/chart" uri="{C3380CC4-5D6E-409C-BE32-E72D297353CC}">
              <c16:uniqueId val="{00000001-B397-4E33-BB0F-A6CC3545F36F}"/>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Conso'!$M$19,'Calculateur- Conso'!$P$19)</c:f>
              <c:numCache>
                <c:formatCode>General</c:formatCode>
                <c:ptCount val="2"/>
                <c:pt idx="0">
                  <c:v>418.32300000000004</c:v>
                </c:pt>
              </c:numCache>
            </c:numRef>
          </c:val>
          <c:extLst>
            <c:ext xmlns:c16="http://schemas.microsoft.com/office/drawing/2014/chart" uri="{C3380CC4-5D6E-409C-BE32-E72D297353CC}">
              <c16:uniqueId val="{00000000-FE4E-4341-9EDA-1E55D951224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44444444439"/>
          <c:y val="2.3872369039226786E-2"/>
          <c:w val="0.43030552697928709"/>
          <c:h val="4.3974258170100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PM10</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Conso'!$O$25:$P$25</c:f>
              <c:numCache>
                <c:formatCode>0.00</c:formatCode>
                <c:ptCount val="2"/>
                <c:pt idx="0">
                  <c:v>0</c:v>
                </c:pt>
                <c:pt idx="1">
                  <c:v>0</c:v>
                </c:pt>
              </c:numCache>
            </c:numRef>
          </c:val>
          <c:extLst>
            <c:ext xmlns:c16="http://schemas.microsoft.com/office/drawing/2014/chart" uri="{C3380CC4-5D6E-409C-BE32-E72D297353CC}">
              <c16:uniqueId val="{00000000-8D4C-4C53-943C-0D8382749944}"/>
            </c:ext>
          </c:extLst>
        </c:ser>
        <c:ser>
          <c:idx val="1"/>
          <c:order val="1"/>
          <c:tx>
            <c:strRef>
              <c:f>'Calculateur- Conso'!$C$18</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Conso'!$O$26:$P$26</c:f>
              <c:numCache>
                <c:formatCode>0.00</c:formatCode>
                <c:ptCount val="2"/>
                <c:pt idx="0">
                  <c:v>53.208959999999998</c:v>
                </c:pt>
                <c:pt idx="1">
                  <c:v>43.142399999999995</c:v>
                </c:pt>
              </c:numCache>
            </c:numRef>
          </c:val>
          <c:extLst>
            <c:ext xmlns:c16="http://schemas.microsoft.com/office/drawing/2014/chart" uri="{C3380CC4-5D6E-409C-BE32-E72D297353CC}">
              <c16:uniqueId val="{00000001-8D4C-4C53-943C-0D8382749944}"/>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Conso'!$M$27,'Calculateur- Conso'!$P$27)</c:f>
              <c:numCache>
                <c:formatCode>0.00</c:formatCode>
                <c:ptCount val="2"/>
                <c:pt idx="0" formatCode="General">
                  <c:v>9.129000000000001E-2</c:v>
                </c:pt>
              </c:numCache>
            </c:numRef>
          </c:val>
          <c:extLst>
            <c:ext xmlns:c16="http://schemas.microsoft.com/office/drawing/2014/chart" uri="{C3380CC4-5D6E-409C-BE32-E72D297353CC}">
              <c16:uniqueId val="{00000000-B03F-44C2-A483-9C95D5BE6BA4}"/>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44540993408"/>
          <c:y val="6.2791240729175163E-2"/>
          <c:w val="0.43030555459006592"/>
          <c:h val="4.37840961953227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NOX</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Conso'!$O$29:$P$29</c:f>
              <c:numCache>
                <c:formatCode>0.00</c:formatCode>
                <c:ptCount val="2"/>
                <c:pt idx="0">
                  <c:v>0</c:v>
                </c:pt>
                <c:pt idx="1">
                  <c:v>0</c:v>
                </c:pt>
              </c:numCache>
            </c:numRef>
          </c:val>
          <c:extLst>
            <c:ext xmlns:c16="http://schemas.microsoft.com/office/drawing/2014/chart" uri="{C3380CC4-5D6E-409C-BE32-E72D297353CC}">
              <c16:uniqueId val="{00000000-D08A-46CC-B671-4A3834A09200}"/>
            </c:ext>
          </c:extLst>
        </c:ser>
        <c:ser>
          <c:idx val="1"/>
          <c:order val="1"/>
          <c:tx>
            <c:strRef>
              <c:f>'Calculateur- Conso'!$C$30</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Conso'!$O$18,'Calculateur- Conso'!$P$18)</c:f>
              <c:numCache>
                <c:formatCode>0.00</c:formatCode>
                <c:ptCount val="2"/>
                <c:pt idx="0">
                  <c:v>293.97950399999996</c:v>
                </c:pt>
                <c:pt idx="1">
                  <c:v>238.36175999999998</c:v>
                </c:pt>
              </c:numCache>
            </c:numRef>
          </c:val>
          <c:extLst>
            <c:ext xmlns:c16="http://schemas.microsoft.com/office/drawing/2014/chart" uri="{C3380CC4-5D6E-409C-BE32-E72D297353CC}">
              <c16:uniqueId val="{00000001-D08A-46CC-B671-4A3834A09200}"/>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Conso'!$M$31</c:f>
              <c:numCache>
                <c:formatCode>General</c:formatCode>
                <c:ptCount val="1"/>
                <c:pt idx="0">
                  <c:v>1.69692</c:v>
                </c:pt>
              </c:numCache>
            </c:numRef>
          </c:val>
          <c:extLst>
            <c:ext xmlns:c16="http://schemas.microsoft.com/office/drawing/2014/chart" uri="{C3380CC4-5D6E-409C-BE32-E72D297353CC}">
              <c16:uniqueId val="{00000000-89FA-4891-B826-8D6ACA37D55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37153689118"/>
          <c:y val="5.4973966767501693E-2"/>
          <c:w val="0.43030562846310877"/>
          <c:h val="4.37368101723991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Répartition de la consommation</a:t>
            </a:r>
            <a:r>
              <a:rPr lang="en-US" baseline="0"/>
              <a:t> E en fonction de la capacité de charge - Droite et équation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'Regressions linéaires'!$H$5</c:f>
              <c:strCache>
                <c:ptCount val="1"/>
                <c:pt idx="0">
                  <c:v>consommation énergétique (MJ/tkm)</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rgbClr val="C00000"/>
                </a:solidFill>
                <a:prstDash val="solid"/>
              </a:ln>
              <a:effectLst/>
            </c:spPr>
            <c:trendlineType val="linear"/>
            <c:dispRSqr val="0"/>
            <c:dispEq val="1"/>
            <c:trendlineLbl>
              <c:layout>
                <c:manualLayout>
                  <c:x val="9.4332370722788939E-2"/>
                  <c:y val="0.15145255040551997"/>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fr-FR"/>
                </a:p>
              </c:txPr>
            </c:trendlineLbl>
          </c:trendline>
          <c:xVal>
            <c:numRef>
              <c:f>'Regressions linéaires'!$G$6:$G$119</c:f>
              <c:numCache>
                <c:formatCode>General</c:formatCode>
                <c:ptCount val="66"/>
                <c:pt idx="0">
                  <c:v>624</c:v>
                </c:pt>
                <c:pt idx="1">
                  <c:v>624</c:v>
                </c:pt>
                <c:pt idx="2">
                  <c:v>1092</c:v>
                </c:pt>
                <c:pt idx="3">
                  <c:v>1092</c:v>
                </c:pt>
                <c:pt idx="4">
                  <c:v>1456</c:v>
                </c:pt>
                <c:pt idx="5">
                  <c:v>1456</c:v>
                </c:pt>
                <c:pt idx="6">
                  <c:v>936</c:v>
                </c:pt>
                <c:pt idx="7">
                  <c:v>936</c:v>
                </c:pt>
                <c:pt idx="8">
                  <c:v>1638</c:v>
                </c:pt>
                <c:pt idx="9">
                  <c:v>1638</c:v>
                </c:pt>
                <c:pt idx="10">
                  <c:v>2184</c:v>
                </c:pt>
                <c:pt idx="11">
                  <c:v>2184</c:v>
                </c:pt>
                <c:pt idx="12">
                  <c:v>1152</c:v>
                </c:pt>
                <c:pt idx="13">
                  <c:v>1152</c:v>
                </c:pt>
                <c:pt idx="14">
                  <c:v>2016</c:v>
                </c:pt>
                <c:pt idx="15">
                  <c:v>2016</c:v>
                </c:pt>
                <c:pt idx="16">
                  <c:v>2688</c:v>
                </c:pt>
                <c:pt idx="17">
                  <c:v>2688</c:v>
                </c:pt>
                <c:pt idx="18">
                  <c:v>1728</c:v>
                </c:pt>
                <c:pt idx="19">
                  <c:v>1728</c:v>
                </c:pt>
                <c:pt idx="20">
                  <c:v>3024</c:v>
                </c:pt>
                <c:pt idx="21">
                  <c:v>3024</c:v>
                </c:pt>
                <c:pt idx="22">
                  <c:v>4032</c:v>
                </c:pt>
                <c:pt idx="23">
                  <c:v>4032</c:v>
                </c:pt>
                <c:pt idx="24">
                  <c:v>2088</c:v>
                </c:pt>
                <c:pt idx="25">
                  <c:v>3654</c:v>
                </c:pt>
                <c:pt idx="26">
                  <c:v>4872</c:v>
                </c:pt>
                <c:pt idx="27">
                  <c:v>960</c:v>
                </c:pt>
                <c:pt idx="28">
                  <c:v>960</c:v>
                </c:pt>
                <c:pt idx="29">
                  <c:v>1680</c:v>
                </c:pt>
                <c:pt idx="30">
                  <c:v>1680</c:v>
                </c:pt>
                <c:pt idx="31">
                  <c:v>2240</c:v>
                </c:pt>
                <c:pt idx="32">
                  <c:v>2240</c:v>
                </c:pt>
                <c:pt idx="33">
                  <c:v>1632</c:v>
                </c:pt>
                <c:pt idx="34">
                  <c:v>1632</c:v>
                </c:pt>
                <c:pt idx="35">
                  <c:v>2856</c:v>
                </c:pt>
                <c:pt idx="36">
                  <c:v>2856</c:v>
                </c:pt>
                <c:pt idx="37">
                  <c:v>3808</c:v>
                </c:pt>
                <c:pt idx="38">
                  <c:v>3808</c:v>
                </c:pt>
                <c:pt idx="39">
                  <c:v>1248</c:v>
                </c:pt>
                <c:pt idx="40">
                  <c:v>1248</c:v>
                </c:pt>
                <c:pt idx="41">
                  <c:v>2184</c:v>
                </c:pt>
                <c:pt idx="42">
                  <c:v>2184</c:v>
                </c:pt>
                <c:pt idx="43">
                  <c:v>2912</c:v>
                </c:pt>
                <c:pt idx="44">
                  <c:v>2912</c:v>
                </c:pt>
                <c:pt idx="45">
                  <c:v>560</c:v>
                </c:pt>
                <c:pt idx="46">
                  <c:v>560</c:v>
                </c:pt>
                <c:pt idx="47">
                  <c:v>240</c:v>
                </c:pt>
                <c:pt idx="48">
                  <c:v>240</c:v>
                </c:pt>
                <c:pt idx="49">
                  <c:v>420</c:v>
                </c:pt>
                <c:pt idx="50">
                  <c:v>420</c:v>
                </c:pt>
                <c:pt idx="51">
                  <c:v>576</c:v>
                </c:pt>
                <c:pt idx="52">
                  <c:v>576</c:v>
                </c:pt>
                <c:pt idx="53">
                  <c:v>1008</c:v>
                </c:pt>
                <c:pt idx="54">
                  <c:v>1008</c:v>
                </c:pt>
                <c:pt idx="55">
                  <c:v>1344</c:v>
                </c:pt>
                <c:pt idx="56">
                  <c:v>1344</c:v>
                </c:pt>
                <c:pt idx="57">
                  <c:v>2604</c:v>
                </c:pt>
                <c:pt idx="58">
                  <c:v>4557</c:v>
                </c:pt>
                <c:pt idx="59">
                  <c:v>6076</c:v>
                </c:pt>
                <c:pt idx="60">
                  <c:v>324</c:v>
                </c:pt>
                <c:pt idx="61">
                  <c:v>324</c:v>
                </c:pt>
                <c:pt idx="62">
                  <c:v>567</c:v>
                </c:pt>
                <c:pt idx="63">
                  <c:v>567</c:v>
                </c:pt>
                <c:pt idx="64">
                  <c:v>756</c:v>
                </c:pt>
                <c:pt idx="65">
                  <c:v>756</c:v>
                </c:pt>
              </c:numCache>
            </c:numRef>
          </c:xVal>
          <c:yVal>
            <c:numRef>
              <c:f>'Regressions linéaires'!$H$6:$H$119</c:f>
              <c:numCache>
                <c:formatCode>0.00</c:formatCode>
                <c:ptCount val="66"/>
                <c:pt idx="24" formatCode="General">
                  <c:v>0.45</c:v>
                </c:pt>
                <c:pt idx="25" formatCode="General">
                  <c:v>0.31</c:v>
                </c:pt>
                <c:pt idx="26" formatCode="General">
                  <c:v>0.25</c:v>
                </c:pt>
                <c:pt idx="27" formatCode="General">
                  <c:v>0.53</c:v>
                </c:pt>
                <c:pt idx="28" formatCode="General">
                  <c:v>0.79</c:v>
                </c:pt>
                <c:pt idx="29" formatCode="General">
                  <c:v>0.4</c:v>
                </c:pt>
                <c:pt idx="30" formatCode="General">
                  <c:v>0.56000000000000005</c:v>
                </c:pt>
                <c:pt idx="31" formatCode="General">
                  <c:v>0.36</c:v>
                </c:pt>
                <c:pt idx="32" formatCode="General">
                  <c:v>0.48</c:v>
                </c:pt>
                <c:pt idx="33" formatCode="General">
                  <c:v>0.36</c:v>
                </c:pt>
                <c:pt idx="34" formatCode="General">
                  <c:v>0.47</c:v>
                </c:pt>
                <c:pt idx="35" formatCode="General">
                  <c:v>0.25</c:v>
                </c:pt>
                <c:pt idx="36" formatCode="General">
                  <c:v>0.31</c:v>
                </c:pt>
                <c:pt idx="37" formatCode="General">
                  <c:v>0.22</c:v>
                </c:pt>
                <c:pt idx="38" formatCode="General">
                  <c:v>0.26</c:v>
                </c:pt>
                <c:pt idx="39" formatCode="General">
                  <c:v>0.31</c:v>
                </c:pt>
                <c:pt idx="40" formatCode="General">
                  <c:v>0.49</c:v>
                </c:pt>
                <c:pt idx="41" formatCode="General">
                  <c:v>0.22</c:v>
                </c:pt>
                <c:pt idx="42" formatCode="General">
                  <c:v>0.32</c:v>
                </c:pt>
                <c:pt idx="43" formatCode="General">
                  <c:v>0.19</c:v>
                </c:pt>
                <c:pt idx="44" formatCode="General">
                  <c:v>0.26</c:v>
                </c:pt>
                <c:pt idx="45" formatCode="General">
                  <c:v>0.37</c:v>
                </c:pt>
                <c:pt idx="46" formatCode="General">
                  <c:v>0.44</c:v>
                </c:pt>
                <c:pt idx="47" formatCode="General">
                  <c:v>0.61</c:v>
                </c:pt>
                <c:pt idx="48" formatCode="General">
                  <c:v>0.77</c:v>
                </c:pt>
                <c:pt idx="49" formatCode="General">
                  <c:v>0.43</c:v>
                </c:pt>
                <c:pt idx="50" formatCode="General">
                  <c:v>0.52</c:v>
                </c:pt>
                <c:pt idx="51" formatCode="General">
                  <c:v>0.51</c:v>
                </c:pt>
                <c:pt idx="52" formatCode="General">
                  <c:v>0.74</c:v>
                </c:pt>
                <c:pt idx="53" formatCode="General">
                  <c:v>0.35</c:v>
                </c:pt>
                <c:pt idx="54" formatCode="General">
                  <c:v>0.49</c:v>
                </c:pt>
                <c:pt idx="55" formatCode="General">
                  <c:v>0.28999999999999998</c:v>
                </c:pt>
                <c:pt idx="56" formatCode="General">
                  <c:v>0.39</c:v>
                </c:pt>
                <c:pt idx="57" formatCode="General">
                  <c:v>0.43</c:v>
                </c:pt>
                <c:pt idx="58" formatCode="General">
                  <c:v>0.28999999999999998</c:v>
                </c:pt>
                <c:pt idx="59" formatCode="General">
                  <c:v>0.25</c:v>
                </c:pt>
              </c:numCache>
            </c:numRef>
          </c:yVal>
          <c:smooth val="0"/>
          <c:extLst>
            <c:ext xmlns:c16="http://schemas.microsoft.com/office/drawing/2014/chart" uri="{C3380CC4-5D6E-409C-BE32-E72D297353CC}">
              <c16:uniqueId val="{00000000-1CCC-4DBA-9E0F-6170AB8D9098}"/>
            </c:ext>
          </c:extLst>
        </c:ser>
        <c:dLbls>
          <c:showLegendKey val="0"/>
          <c:showVal val="0"/>
          <c:showCatName val="0"/>
          <c:showSerName val="0"/>
          <c:showPercent val="0"/>
          <c:showBubbleSize val="0"/>
        </c:dLbls>
        <c:axId val="1311448448"/>
        <c:axId val="1311448928"/>
      </c:scatterChart>
      <c:valAx>
        <c:axId val="1311448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Capacité de charge (T)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1448928"/>
        <c:crosses val="autoZero"/>
        <c:crossBetween val="midCat"/>
      </c:valAx>
      <c:valAx>
        <c:axId val="1311448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BE"/>
                  <a:t>Consommation énergétique (MJ/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14484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SO2 (g)</a:t>
            </a:r>
          </a:p>
        </c:rich>
      </c:tx>
      <c:layout>
        <c:manualLayout>
          <c:xMode val="edge"/>
          <c:yMode val="edge"/>
          <c:x val="2.8664656536406243E-2"/>
          <c:y val="1.8304469922729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trajet'!$C$31</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trajet'!$E$31:$M$31</c15:sqref>
                  </c15:fullRef>
                </c:ext>
              </c:extLst>
              <c:f>('Calculateur - trajet'!$E$31,'Calculateur - trajet'!$G$31,'Calculateur - trajet'!$I$31,'Calculateur - trajet'!$K$31,'Calculateur - trajet'!$M$31)</c:f>
              <c:numCache>
                <c:formatCode>General</c:formatCode>
                <c:ptCount val="5"/>
                <c:pt idx="0">
                  <c:v>65</c:v>
                </c:pt>
                <c:pt idx="1">
                  <c:v>1.9000000000000001</c:v>
                </c:pt>
                <c:pt idx="2">
                  <c:v>1.2</c:v>
                </c:pt>
                <c:pt idx="3">
                  <c:v>1.2999999999999998</c:v>
                </c:pt>
              </c:numCache>
            </c:numRef>
          </c:val>
          <c:extLst>
            <c:ext xmlns:c16="http://schemas.microsoft.com/office/drawing/2014/chart" uri="{C3380CC4-5D6E-409C-BE32-E72D297353CC}">
              <c16:uniqueId val="{00000000-0166-4514-A405-B7363C1B6A71}"/>
            </c:ext>
          </c:extLst>
        </c:ser>
        <c:ser>
          <c:idx val="1"/>
          <c:order val="1"/>
          <c:tx>
            <c:strRef>
              <c:f>'Calculateur - trajet'!$C$32</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trajet'!$E$32:$M$32</c15:sqref>
                  </c15:fullRef>
                </c:ext>
              </c:extLst>
              <c:f>('Calculateur - trajet'!$E$32,'Calculateur - trajet'!$G$32,'Calculateur - trajet'!$I$32,'Calculateur - trajet'!$K$32,'Calculateur - trajet'!$M$32)</c:f>
              <c:numCache>
                <c:formatCode>General</c:formatCode>
                <c:ptCount val="5"/>
                <c:pt idx="0">
                  <c:v>14739935</c:v>
                </c:pt>
                <c:pt idx="1">
                  <c:v>438.09999999999997</c:v>
                </c:pt>
                <c:pt idx="2">
                  <c:v>258.8</c:v>
                </c:pt>
                <c:pt idx="3">
                  <c:v>298.7</c:v>
                </c:pt>
              </c:numCache>
            </c:numRef>
          </c:val>
          <c:extLst>
            <c:ext xmlns:c16="http://schemas.microsoft.com/office/drawing/2014/chart" uri="{C3380CC4-5D6E-409C-BE32-E72D297353CC}">
              <c16:uniqueId val="{00000001-0166-4514-A405-B7363C1B6A71}"/>
            </c:ext>
          </c:extLst>
        </c:ser>
        <c:ser>
          <c:idx val="2"/>
          <c:order val="2"/>
          <c:tx>
            <c:strRef>
              <c:f>'Calculateur - trajet'!$C$33</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trajet'!$E$33:$M$33</c15:sqref>
                  </c15:fullRef>
                </c:ext>
              </c:extLst>
              <c:f>('Calculateur - trajet'!$E$33,'Calculateur - trajet'!$G$33,'Calculateur - trajet'!$I$33,'Calculateur - trajet'!$K$33,'Calculateur - trajet'!$M$33)</c:f>
              <c:numCache>
                <c:formatCode>General</c:formatCode>
                <c:ptCount val="5"/>
                <c:pt idx="4">
                  <c:v>0.65</c:v>
                </c:pt>
              </c:numCache>
            </c:numRef>
          </c:val>
          <c:extLst>
            <c:ext xmlns:c16="http://schemas.microsoft.com/office/drawing/2014/chart" uri="{C3380CC4-5D6E-409C-BE32-E72D297353CC}">
              <c16:uniqueId val="{00000000-B963-4F09-BE61-669CD60D5054}"/>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7811923455831871"/>
          <c:y val="6.8811258719125273E-2"/>
          <c:w val="0.42188063949588339"/>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baseline="0"/>
              <a:t>PM10 (g) </a:t>
            </a:r>
            <a:endParaRPr lang="fr-BE" sz="2800" b="1"/>
          </a:p>
        </c:rich>
      </c:tx>
      <c:layout>
        <c:manualLayout>
          <c:xMode val="edge"/>
          <c:yMode val="edge"/>
          <c:x val="1.8638291517323772E-2"/>
          <c:y val="1.293794525262763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trajet'!$C$35</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trajet'!$E$35:$M$35</c15:sqref>
                  </c15:fullRef>
                </c:ext>
              </c:extLst>
              <c:f>('Calculateur - trajet'!$E$35,'Calculateur - trajet'!$G$35,'Calculateur - trajet'!$I$35,'Calculateur - trajet'!$K$35,'Calculateur - trajet'!$M$35)</c:f>
              <c:numCache>
                <c:formatCode>General</c:formatCode>
                <c:ptCount val="5"/>
                <c:pt idx="0">
                  <c:v>1580</c:v>
                </c:pt>
                <c:pt idx="1">
                  <c:v>230</c:v>
                </c:pt>
                <c:pt idx="2">
                  <c:v>90</c:v>
                </c:pt>
                <c:pt idx="3">
                  <c:v>160</c:v>
                </c:pt>
              </c:numCache>
            </c:numRef>
          </c:val>
          <c:extLst>
            <c:ext xmlns:c16="http://schemas.microsoft.com/office/drawing/2014/chart" uri="{C3380CC4-5D6E-409C-BE32-E72D297353CC}">
              <c16:uniqueId val="{00000000-BC8C-48B1-89A2-597A19B9B920}"/>
            </c:ext>
          </c:extLst>
        </c:ser>
        <c:ser>
          <c:idx val="1"/>
          <c:order val="1"/>
          <c:tx>
            <c:strRef>
              <c:f>'Calculateur - trajet'!$C$36</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trajet'!$E$36:$M$36</c15:sqref>
                  </c15:fullRef>
                </c:ext>
              </c:extLst>
              <c:f>('Calculateur - trajet'!$E$36,'Calculateur - trajet'!$G$36,'Calculateur - trajet'!$I$36,'Calculateur - trajet'!$K$36,'Calculateur - trajet'!$M$36)</c:f>
              <c:numCache>
                <c:formatCode>General</c:formatCode>
                <c:ptCount val="5"/>
                <c:pt idx="0">
                  <c:v>549.99999999999989</c:v>
                </c:pt>
                <c:pt idx="1">
                  <c:v>20.000000000000018</c:v>
                </c:pt>
                <c:pt idx="2">
                  <c:v>10.000000000000009</c:v>
                </c:pt>
                <c:pt idx="3">
                  <c:v>10.000000000000009</c:v>
                </c:pt>
              </c:numCache>
            </c:numRef>
          </c:val>
          <c:extLst>
            <c:ext xmlns:c16="http://schemas.microsoft.com/office/drawing/2014/chart" uri="{C3380CC4-5D6E-409C-BE32-E72D297353CC}">
              <c16:uniqueId val="{00000001-BC8C-48B1-89A2-597A19B9B920}"/>
            </c:ext>
          </c:extLst>
        </c:ser>
        <c:ser>
          <c:idx val="2"/>
          <c:order val="2"/>
          <c:tx>
            <c:strRef>
              <c:f>'Calculateur - trajet'!$C$37</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trajet'!$E$37:$M$37</c15:sqref>
                  </c15:fullRef>
                </c:ext>
              </c:extLst>
              <c:f>('Calculateur - trajet'!$E$37,'Calculateur - trajet'!$G$37,'Calculateur - trajet'!$I$37,'Calculateur - trajet'!$K$37,'Calculateur - trajet'!$M$37)</c:f>
              <c:numCache>
                <c:formatCode>General</c:formatCode>
                <c:ptCount val="5"/>
                <c:pt idx="4">
                  <c:v>22.1</c:v>
                </c:pt>
              </c:numCache>
            </c:numRef>
          </c:val>
          <c:extLst>
            <c:ext xmlns:c16="http://schemas.microsoft.com/office/drawing/2014/chart" uri="{C3380CC4-5D6E-409C-BE32-E72D297353CC}">
              <c16:uniqueId val="{00000000-1619-4E9B-B2DE-5E787E599525}"/>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7.1093408142404751E-2"/>
          <c:w val="0.44084348864994027"/>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NOX (g)</a:t>
            </a:r>
          </a:p>
        </c:rich>
      </c:tx>
      <c:layout>
        <c:manualLayout>
          <c:xMode val="edge"/>
          <c:yMode val="edge"/>
          <c:x val="3.1459677419354827E-2"/>
          <c:y val="2.1965363907275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trajet'!$C$39</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trajet'!$E$39:$M$39</c15:sqref>
                  </c15:fullRef>
                </c:ext>
              </c:extLst>
              <c:f>('Calculateur - trajet'!$E$39,'Calculateur - trajet'!$G$39,'Calculateur - trajet'!$I$39,'Calculateur - trajet'!$K$39,'Calculateur - trajet'!$M$39)</c:f>
              <c:numCache>
                <c:formatCode>General</c:formatCode>
                <c:ptCount val="5"/>
                <c:pt idx="0">
                  <c:v>45400</c:v>
                </c:pt>
                <c:pt idx="1">
                  <c:v>4600</c:v>
                </c:pt>
                <c:pt idx="2">
                  <c:v>2600</c:v>
                </c:pt>
                <c:pt idx="3">
                  <c:v>3200</c:v>
                </c:pt>
              </c:numCache>
            </c:numRef>
          </c:val>
          <c:extLst>
            <c:ext xmlns:c16="http://schemas.microsoft.com/office/drawing/2014/chart" uri="{C3380CC4-5D6E-409C-BE32-E72D297353CC}">
              <c16:uniqueId val="{00000000-0620-4024-AA84-76EB85767727}"/>
            </c:ext>
          </c:extLst>
        </c:ser>
        <c:ser>
          <c:idx val="1"/>
          <c:order val="1"/>
          <c:tx>
            <c:strRef>
              <c:f>'Calculateur - trajet'!$C$40</c:f>
              <c:strCache>
                <c:ptCount val="1"/>
                <c:pt idx="0">
                  <c:v>Indirecte</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trajet'!$E$40:$M$40</c15:sqref>
                  </c15:fullRef>
                </c:ext>
              </c:extLst>
              <c:f>('Calculateur - trajet'!$E$40,'Calculateur - trajet'!$G$40,'Calculateur - trajet'!$I$40,'Calculateur - trajet'!$K$40,'Calculateur - trajet'!$M$40)</c:f>
              <c:numCache>
                <c:formatCode>General</c:formatCode>
                <c:ptCount val="5"/>
                <c:pt idx="0">
                  <c:v>5099.9999999999982</c:v>
                </c:pt>
                <c:pt idx="1">
                  <c:v>99.999999999999531</c:v>
                </c:pt>
                <c:pt idx="2">
                  <c:v>100.00000000000009</c:v>
                </c:pt>
                <c:pt idx="3">
                  <c:v>100.00000000000009</c:v>
                </c:pt>
              </c:numCache>
            </c:numRef>
          </c:val>
          <c:extLst>
            <c:ext xmlns:c16="http://schemas.microsoft.com/office/drawing/2014/chart" uri="{C3380CC4-5D6E-409C-BE32-E72D297353CC}">
              <c16:uniqueId val="{00000001-0620-4024-AA84-76EB85767727}"/>
            </c:ext>
          </c:extLst>
        </c:ser>
        <c:ser>
          <c:idx val="2"/>
          <c:order val="2"/>
          <c:tx>
            <c:strRef>
              <c:f>'Calculateur - trajet'!$C$41</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trajet'!$E$41:$M$41</c15:sqref>
                  </c15:fullRef>
                </c:ext>
              </c:extLst>
              <c:f>('Calculateur - trajet'!$E$41,'Calculateur - trajet'!$G$41,'Calculateur - trajet'!$I$41,'Calculateur - trajet'!$K$41,'Calculateur - trajet'!$M$41)</c:f>
              <c:numCache>
                <c:formatCode>General</c:formatCode>
                <c:ptCount val="5"/>
                <c:pt idx="4">
                  <c:v>410.80000000000007</c:v>
                </c:pt>
              </c:numCache>
            </c:numRef>
          </c:val>
          <c:extLst>
            <c:ext xmlns:c16="http://schemas.microsoft.com/office/drawing/2014/chart" uri="{C3380CC4-5D6E-409C-BE32-E72D297353CC}">
              <c16:uniqueId val="{00000000-130D-46A1-8CAF-3F6D65AB20B8}"/>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6.8811258719125273E-2"/>
          <c:w val="0.44084348864994027"/>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000" b="1"/>
              <a:t>Coûts des externalités </a:t>
            </a:r>
          </a:p>
        </c:rich>
      </c:tx>
      <c:layout>
        <c:manualLayout>
          <c:xMode val="edge"/>
          <c:yMode val="edge"/>
          <c:x val="0.3351872416922892"/>
          <c:y val="1.48471056192758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1760010818618381"/>
          <c:y val="0.12342084723673287"/>
          <c:w val="0.85112023333355491"/>
          <c:h val="0.49822526405027989"/>
        </c:manualLayout>
      </c:layout>
      <c:barChart>
        <c:barDir val="bar"/>
        <c:grouping val="stacked"/>
        <c:varyColors val="0"/>
        <c:ser>
          <c:idx val="0"/>
          <c:order val="0"/>
          <c:tx>
            <c:strRef>
              <c:f>'Calculateur - trajet'!$C$49</c:f>
              <c:strCache>
                <c:ptCount val="1"/>
                <c:pt idx="0">
                  <c:v>Accidents</c:v>
                </c:pt>
              </c:strCache>
            </c:strRef>
          </c:tx>
          <c:spPr>
            <a:solidFill>
              <a:srgbClr val="7030A0"/>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trajet'!$E$49:$K$49</c15:sqref>
                  </c15:fullRef>
                </c:ext>
              </c:extLst>
              <c:f>('Calculateur - trajet'!$E$49,'Calculateur - trajet'!$G$49,'Calculateur - trajet'!$I$49,'Calculateur - trajet'!$K$49)</c:f>
              <c:numCache>
                <c:formatCode>General</c:formatCode>
                <c:ptCount val="4"/>
                <c:pt idx="0">
                  <c:v>320</c:v>
                </c:pt>
                <c:pt idx="1">
                  <c:v>0</c:v>
                </c:pt>
                <c:pt idx="2">
                  <c:v>0</c:v>
                </c:pt>
                <c:pt idx="3">
                  <c:v>0</c:v>
                </c:pt>
              </c:numCache>
            </c:numRef>
          </c:val>
          <c:extLst>
            <c:ext xmlns:c16="http://schemas.microsoft.com/office/drawing/2014/chart" uri="{C3380CC4-5D6E-409C-BE32-E72D297353CC}">
              <c16:uniqueId val="{00000000-5512-4913-A17C-941D32161613}"/>
            </c:ext>
          </c:extLst>
        </c:ser>
        <c:ser>
          <c:idx val="1"/>
          <c:order val="1"/>
          <c:tx>
            <c:strRef>
              <c:f>'Calculateur - trajet'!$C$50</c:f>
              <c:strCache>
                <c:ptCount val="1"/>
                <c:pt idx="0">
                  <c:v>Bruit</c:v>
                </c:pt>
              </c:strCache>
            </c:strRef>
          </c:tx>
          <c:spPr>
            <a:solidFill>
              <a:srgbClr val="0070C0"/>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trajet'!$E$50:$K$50</c15:sqref>
                  </c15:fullRef>
                </c:ext>
              </c:extLst>
              <c:f>('Calculateur - trajet'!$E$50,'Calculateur - trajet'!$G$50,'Calculateur - trajet'!$I$50,'Calculateur - trajet'!$K$50)</c:f>
              <c:numCache>
                <c:formatCode>General</c:formatCode>
                <c:ptCount val="4"/>
                <c:pt idx="0">
                  <c:v>190</c:v>
                </c:pt>
                <c:pt idx="1">
                  <c:v>0</c:v>
                </c:pt>
                <c:pt idx="2">
                  <c:v>0</c:v>
                </c:pt>
                <c:pt idx="3">
                  <c:v>0</c:v>
                </c:pt>
              </c:numCache>
            </c:numRef>
          </c:val>
          <c:extLst>
            <c:ext xmlns:c16="http://schemas.microsoft.com/office/drawing/2014/chart" uri="{C3380CC4-5D6E-409C-BE32-E72D297353CC}">
              <c16:uniqueId val="{00000001-5512-4913-A17C-941D32161613}"/>
            </c:ext>
          </c:extLst>
        </c:ser>
        <c:ser>
          <c:idx val="2"/>
          <c:order val="2"/>
          <c:tx>
            <c:strRef>
              <c:f>'Calculateur - trajet'!$C$51</c:f>
              <c:strCache>
                <c:ptCount val="1"/>
                <c:pt idx="0">
                  <c:v>Pollution de l'air</c:v>
                </c:pt>
              </c:strCache>
            </c:strRef>
          </c:tx>
          <c:spPr>
            <a:solidFill>
              <a:schemeClr val="accent4"/>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trajet'!$E$51:$K$51</c15:sqref>
                  </c15:fullRef>
                </c:ext>
              </c:extLst>
              <c:f>('Calculateur - trajet'!$E$51,'Calculateur - trajet'!$G$51,'Calculateur - trajet'!$I$51,'Calculateur - trajet'!$K$51)</c:f>
              <c:numCache>
                <c:formatCode>General</c:formatCode>
                <c:ptCount val="4"/>
                <c:pt idx="0">
                  <c:v>320</c:v>
                </c:pt>
                <c:pt idx="1">
                  <c:v>230</c:v>
                </c:pt>
                <c:pt idx="2">
                  <c:v>230</c:v>
                </c:pt>
                <c:pt idx="3">
                  <c:v>230</c:v>
                </c:pt>
              </c:numCache>
            </c:numRef>
          </c:val>
          <c:extLst>
            <c:ext xmlns:c16="http://schemas.microsoft.com/office/drawing/2014/chart" uri="{C3380CC4-5D6E-409C-BE32-E72D297353CC}">
              <c16:uniqueId val="{00000002-5512-4913-A17C-941D32161613}"/>
            </c:ext>
          </c:extLst>
        </c:ser>
        <c:ser>
          <c:idx val="3"/>
          <c:order val="3"/>
          <c:tx>
            <c:strRef>
              <c:f>'Calculateur - trajet'!$C$52</c:f>
              <c:strCache>
                <c:ptCount val="1"/>
                <c:pt idx="0">
                  <c:v>Changement climatique</c:v>
                </c:pt>
              </c:strCache>
            </c:strRef>
          </c:tx>
          <c:spPr>
            <a:solidFill>
              <a:schemeClr val="accent2"/>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trajet'!$E$52:$K$52</c15:sqref>
                  </c15:fullRef>
                </c:ext>
              </c:extLst>
              <c:f>('Calculateur - trajet'!$E$52,'Calculateur - trajet'!$G$52,'Calculateur - trajet'!$I$52,'Calculateur - trajet'!$K$52)</c:f>
              <c:numCache>
                <c:formatCode>General</c:formatCode>
                <c:ptCount val="4"/>
                <c:pt idx="0">
                  <c:v>400</c:v>
                </c:pt>
                <c:pt idx="1">
                  <c:v>30</c:v>
                </c:pt>
                <c:pt idx="2">
                  <c:v>30</c:v>
                </c:pt>
                <c:pt idx="3">
                  <c:v>30</c:v>
                </c:pt>
              </c:numCache>
            </c:numRef>
          </c:val>
          <c:extLst>
            <c:ext xmlns:c16="http://schemas.microsoft.com/office/drawing/2014/chart" uri="{C3380CC4-5D6E-409C-BE32-E72D297353CC}">
              <c16:uniqueId val="{00000003-5512-4913-A17C-941D32161613}"/>
            </c:ext>
          </c:extLst>
        </c:ser>
        <c:ser>
          <c:idx val="4"/>
          <c:order val="4"/>
          <c:tx>
            <c:strRef>
              <c:f>'Calculateur - trajet'!$C$53</c:f>
              <c:strCache>
                <c:ptCount val="1"/>
                <c:pt idx="0">
                  <c:v>Effets de coupure</c:v>
                </c:pt>
              </c:strCache>
            </c:strRef>
          </c:tx>
          <c:spPr>
            <a:solidFill>
              <a:schemeClr val="accent5"/>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trajet'!$E$53:$K$53</c15:sqref>
                  </c15:fullRef>
                </c:ext>
              </c:extLst>
              <c:f>('Calculateur - trajet'!$E$53,'Calculateur - trajet'!$G$53,'Calculateur - trajet'!$I$53,'Calculateur - trajet'!$K$53)</c:f>
              <c:numCache>
                <c:formatCode>General</c:formatCode>
                <c:ptCount val="4"/>
                <c:pt idx="0">
                  <c:v>69.999999999999986</c:v>
                </c:pt>
                <c:pt idx="1">
                  <c:v>0</c:v>
                </c:pt>
                <c:pt idx="2">
                  <c:v>0</c:v>
                </c:pt>
                <c:pt idx="3">
                  <c:v>0</c:v>
                </c:pt>
              </c:numCache>
            </c:numRef>
          </c:val>
          <c:extLst>
            <c:ext xmlns:c16="http://schemas.microsoft.com/office/drawing/2014/chart" uri="{C3380CC4-5D6E-409C-BE32-E72D297353CC}">
              <c16:uniqueId val="{00000004-5512-4913-A17C-941D32161613}"/>
            </c:ext>
          </c:extLst>
        </c:ser>
        <c:ser>
          <c:idx val="5"/>
          <c:order val="5"/>
          <c:tx>
            <c:strRef>
              <c:f>'Calculateur - trajet'!$C$54</c:f>
              <c:strCache>
                <c:ptCount val="1"/>
                <c:pt idx="0">
                  <c:v>Effets en amont</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trajet'!$E$54:$K$54</c15:sqref>
                  </c15:fullRef>
                </c:ext>
              </c:extLst>
              <c:f>('Calculateur - trajet'!$E$54,'Calculateur - trajet'!$G$54,'Calculateur - trajet'!$I$54,'Calculateur - trajet'!$K$54)</c:f>
              <c:numCache>
                <c:formatCode>General</c:formatCode>
                <c:ptCount val="4"/>
                <c:pt idx="0">
                  <c:v>180.00000000000003</c:v>
                </c:pt>
                <c:pt idx="1">
                  <c:v>20</c:v>
                </c:pt>
                <c:pt idx="2">
                  <c:v>20</c:v>
                </c:pt>
                <c:pt idx="3">
                  <c:v>20</c:v>
                </c:pt>
              </c:numCache>
            </c:numRef>
          </c:val>
          <c:extLst>
            <c:ext xmlns:c16="http://schemas.microsoft.com/office/drawing/2014/chart" uri="{C3380CC4-5D6E-409C-BE32-E72D297353CC}">
              <c16:uniqueId val="{00000005-5512-4913-A17C-941D32161613}"/>
            </c:ext>
          </c:extLst>
        </c:ser>
        <c:ser>
          <c:idx val="6"/>
          <c:order val="6"/>
          <c:tx>
            <c:strRef>
              <c:f>'Calculateur - trajet'!$C$55</c:f>
              <c:strCache>
                <c:ptCount val="1"/>
                <c:pt idx="0">
                  <c:v>Congestion</c:v>
                </c:pt>
              </c:strCache>
            </c:strRef>
          </c:tx>
          <c:spPr>
            <a:solidFill>
              <a:schemeClr val="accent1">
                <a:lumMod val="60000"/>
              </a:schemeClr>
            </a:solidFill>
            <a:ln>
              <a:noFill/>
            </a:ln>
            <a:effectLst/>
          </c:spPr>
          <c:invertIfNegative val="0"/>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trajet'!$E$55:$K$55</c15:sqref>
                  </c15:fullRef>
                </c:ext>
              </c:extLst>
              <c:f>('Calculateur - trajet'!$E$55,'Calculateur - trajet'!$G$55,'Calculateur - trajet'!$I$55,'Calculateur - trajet'!$K$55)</c:f>
              <c:numCache>
                <c:formatCode>General</c:formatCode>
                <c:ptCount val="4"/>
                <c:pt idx="0">
                  <c:v>1150</c:v>
                </c:pt>
                <c:pt idx="1">
                  <c:v>0</c:v>
                </c:pt>
                <c:pt idx="2">
                  <c:v>0</c:v>
                </c:pt>
                <c:pt idx="3">
                  <c:v>0</c:v>
                </c:pt>
              </c:numCache>
            </c:numRef>
          </c:val>
          <c:extLst>
            <c:ext xmlns:c16="http://schemas.microsoft.com/office/drawing/2014/chart" uri="{C3380CC4-5D6E-409C-BE32-E72D297353CC}">
              <c16:uniqueId val="{00000000-D490-409D-A889-66963204B1E2}"/>
            </c:ext>
          </c:extLst>
        </c:ser>
        <c:dLbls>
          <c:showLegendKey val="0"/>
          <c:showVal val="0"/>
          <c:showCatName val="0"/>
          <c:showSerName val="0"/>
          <c:showPercent val="0"/>
          <c:showBubbleSize val="0"/>
        </c:dLbls>
        <c:gapWidth val="12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fr-BE" sz="1600"/>
                  <a:t>modalités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BE" sz="1400" b="0"/>
                  <a:t>Coûts</a:t>
                </a:r>
                <a:r>
                  <a:rPr lang="fr-BE" sz="1400" b="0" baseline="0"/>
                  <a:t> totaux (€)</a:t>
                </a:r>
                <a:endParaRPr lang="fr-BE" sz="1400" b="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1.9488858645351687E-2"/>
          <c:y val="0.7451301143643736"/>
          <c:w val="0.94048935066230466"/>
          <c:h val="0.2449010402398592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Coûts totaux des externalités </a:t>
            </a:r>
          </a:p>
        </c:rich>
      </c:tx>
      <c:layout>
        <c:manualLayout>
          <c:xMode val="edge"/>
          <c:yMode val="edge"/>
          <c:x val="0.31446961130646689"/>
          <c:y val="9.907120098998393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0885745491267571"/>
          <c:y val="0.11239784137257702"/>
          <c:w val="0.7552303474034473"/>
          <c:h val="0.73826740851320649"/>
        </c:manualLayout>
      </c:layout>
      <c:barChart>
        <c:barDir val="bar"/>
        <c:grouping val="clustered"/>
        <c:varyColors val="0"/>
        <c:ser>
          <c:idx val="0"/>
          <c:order val="0"/>
          <c:tx>
            <c:strRef>
              <c:f>'Calculateur - trajet'!$C$47</c:f>
              <c:strCache>
                <c:ptCount val="1"/>
                <c:pt idx="0">
                  <c:v>Coûts totaux</c:v>
                </c:pt>
              </c:strCache>
            </c:strRef>
          </c:tx>
          <c:spPr>
            <a:solidFill>
              <a:schemeClr val="accent1"/>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trajet'!$O$47,'Calculateur - trajet'!$Q$47)</c:f>
              <c:numCache>
                <c:formatCode>General</c:formatCode>
                <c:ptCount val="2"/>
                <c:pt idx="0" formatCode="0.0">
                  <c:v>3470</c:v>
                </c:pt>
                <c:pt idx="1">
                  <c:v>1152</c:v>
                </c:pt>
              </c:numCache>
            </c:numRef>
          </c:val>
          <c:extLst>
            <c:ext xmlns:c16="http://schemas.microsoft.com/office/drawing/2014/chart" uri="{C3380CC4-5D6E-409C-BE32-E72D297353CC}">
              <c16:uniqueId val="{00000000-9859-44CA-8F64-03100118DBCD}"/>
            </c:ext>
          </c:extLst>
        </c:ser>
        <c:dLbls>
          <c:showLegendKey val="0"/>
          <c:showVal val="0"/>
          <c:showCatName val="0"/>
          <c:showSerName val="0"/>
          <c:showPercent val="0"/>
          <c:showBubbleSize val="0"/>
        </c:dLbls>
        <c:gapWidth val="100"/>
        <c:axId val="385261423"/>
        <c:axId val="394981567"/>
      </c:barChart>
      <c:catAx>
        <c:axId val="385261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max val="15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fr-BE" sz="1600"/>
                  <a:t>Coûts</a:t>
                </a:r>
                <a:r>
                  <a:rPr lang="fr-BE" sz="1600" baseline="0"/>
                  <a:t> (€)</a:t>
                </a:r>
                <a:endParaRPr lang="fr-BE" sz="160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S02</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trajet'!$O$31,'Calculateur - trajet'!$Q$31)</c:f>
              <c:numCache>
                <c:formatCode>General</c:formatCode>
                <c:ptCount val="2"/>
                <c:pt idx="0" formatCode="0.0">
                  <c:v>69.400000000000006</c:v>
                </c:pt>
                <c:pt idx="1">
                  <c:v>7.1999999999999993</c:v>
                </c:pt>
              </c:numCache>
            </c:numRef>
          </c:val>
          <c:extLst>
            <c:ext xmlns:c16="http://schemas.microsoft.com/office/drawing/2014/chart" uri="{C3380CC4-5D6E-409C-BE32-E72D297353CC}">
              <c16:uniqueId val="{00000000-C057-45A1-AEB9-26380720DDCD}"/>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trajet'!$O$32,'Calculateur - trajet'!$Q$32)</c:f>
              <c:numCache>
                <c:formatCode>General</c:formatCode>
                <c:ptCount val="2"/>
                <c:pt idx="0" formatCode="0.0">
                  <c:v>14740930.6</c:v>
                </c:pt>
                <c:pt idx="1">
                  <c:v>1840.8000000000002</c:v>
                </c:pt>
              </c:numCache>
            </c:numRef>
          </c:val>
          <c:extLst>
            <c:ext xmlns:c16="http://schemas.microsoft.com/office/drawing/2014/chart" uri="{C3380CC4-5D6E-409C-BE32-E72D297353CC}">
              <c16:uniqueId val="{00000001-C057-45A1-AEB9-26380720DDCD}"/>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trajet'!$O$33,'Calculateur - trajet'!$Q$33)</c:f>
              <c:numCache>
                <c:formatCode>General</c:formatCode>
                <c:ptCount val="2"/>
                <c:pt idx="0" formatCode="0.0">
                  <c:v>0.65</c:v>
                </c:pt>
                <c:pt idx="1">
                  <c:v>0</c:v>
                </c:pt>
              </c:numCache>
            </c:numRef>
          </c:val>
          <c:extLst>
            <c:ext xmlns:c16="http://schemas.microsoft.com/office/drawing/2014/chart" uri="{C3380CC4-5D6E-409C-BE32-E72D297353CC}">
              <c16:uniqueId val="{00000000-CCCA-4423-BB14-1245355FEEE3}"/>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24031273298809111"/>
          <c:y val="5.7145678217599229E-2"/>
          <c:w val="0.69473716548401887"/>
          <c:h val="4.8556326730776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PM10</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trajet'!$O$35,'Calculateur - trajet'!$Q$35)</c:f>
              <c:numCache>
                <c:formatCode>General</c:formatCode>
                <c:ptCount val="2"/>
                <c:pt idx="0" formatCode="0.0">
                  <c:v>2060</c:v>
                </c:pt>
                <c:pt idx="1">
                  <c:v>0</c:v>
                </c:pt>
              </c:numCache>
            </c:numRef>
          </c:val>
          <c:extLst>
            <c:ext xmlns:c16="http://schemas.microsoft.com/office/drawing/2014/chart" uri="{C3380CC4-5D6E-409C-BE32-E72D297353CC}">
              <c16:uniqueId val="{00000000-C116-4075-BD52-4A97BC58DA7E}"/>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trajet'!$O$36,'Calculateur - trajet'!$Q$36)</c:f>
              <c:numCache>
                <c:formatCode>General</c:formatCode>
                <c:ptCount val="2"/>
                <c:pt idx="0" formatCode="0.0">
                  <c:v>589.99999999999989</c:v>
                </c:pt>
                <c:pt idx="1">
                  <c:v>0</c:v>
                </c:pt>
              </c:numCache>
            </c:numRef>
          </c:val>
          <c:extLst>
            <c:ext xmlns:c16="http://schemas.microsoft.com/office/drawing/2014/chart" uri="{C3380CC4-5D6E-409C-BE32-E72D297353CC}">
              <c16:uniqueId val="{00000001-C116-4075-BD52-4A97BC58DA7E}"/>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trajet'!$O$37,'Calculateur - trajet'!$Q$37)</c:f>
              <c:numCache>
                <c:formatCode>General</c:formatCode>
                <c:ptCount val="2"/>
                <c:pt idx="0" formatCode="0.0">
                  <c:v>22.1</c:v>
                </c:pt>
                <c:pt idx="1">
                  <c:v>0</c:v>
                </c:pt>
              </c:numCache>
            </c:numRef>
          </c:val>
          <c:extLst>
            <c:ext xmlns:c16="http://schemas.microsoft.com/office/drawing/2014/chart" uri="{C3380CC4-5D6E-409C-BE32-E72D297353CC}">
              <c16:uniqueId val="{00000000-27C2-4195-8047-4255CA53D74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47515112433862433"/>
          <c:y val="4.6717606813155579E-2"/>
          <c:w val="0.48129662698412701"/>
          <c:h val="6.15913342448943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eqCO2</a:t>
            </a:r>
            <a:r>
              <a:rPr lang="fr-BE" sz="1800" b="1" baseline="0"/>
              <a:t> totales</a:t>
            </a:r>
            <a:endParaRPr lang="fr-BE" sz="1800" b="1"/>
          </a:p>
        </c:rich>
      </c:tx>
      <c:layout>
        <c:manualLayout>
          <c:xMode val="edge"/>
          <c:yMode val="edge"/>
          <c:x val="2.5408730158730158E-2"/>
          <c:y val="9.02010499402213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trajet'!$O$39,'Calculateur - trajet'!$Q$39)</c:f>
              <c:numCache>
                <c:formatCode>General</c:formatCode>
                <c:ptCount val="2"/>
                <c:pt idx="0" formatCode="0.0">
                  <c:v>55800</c:v>
                </c:pt>
                <c:pt idx="1">
                  <c:v>0</c:v>
                </c:pt>
              </c:numCache>
            </c:numRef>
          </c:val>
          <c:extLst>
            <c:ext xmlns:c16="http://schemas.microsoft.com/office/drawing/2014/chart" uri="{C3380CC4-5D6E-409C-BE32-E72D297353CC}">
              <c16:uniqueId val="{00000000-77FD-4FB9-99AA-52EF2087F352}"/>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trajet'!$O$40,'Calculateur - trajet'!$Q$40)</c:f>
              <c:numCache>
                <c:formatCode>General</c:formatCode>
                <c:ptCount val="2"/>
                <c:pt idx="0" formatCode="0.0">
                  <c:v>5399.9999999999973</c:v>
                </c:pt>
                <c:pt idx="1">
                  <c:v>0</c:v>
                </c:pt>
              </c:numCache>
            </c:numRef>
          </c:val>
          <c:extLst>
            <c:ext xmlns:c16="http://schemas.microsoft.com/office/drawing/2014/chart" uri="{C3380CC4-5D6E-409C-BE32-E72D297353CC}">
              <c16:uniqueId val="{00000001-77FD-4FB9-99AA-52EF2087F352}"/>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trajet'!$O$41,'Calculateur - trajet'!$Q$41)</c:f>
              <c:numCache>
                <c:formatCode>General</c:formatCode>
                <c:ptCount val="2"/>
                <c:pt idx="0" formatCode="0.0">
                  <c:v>410.80000000000007</c:v>
                </c:pt>
                <c:pt idx="1">
                  <c:v>0</c:v>
                </c:pt>
              </c:numCache>
            </c:numRef>
          </c:val>
          <c:extLst>
            <c:ext xmlns:c16="http://schemas.microsoft.com/office/drawing/2014/chart" uri="{C3380CC4-5D6E-409C-BE32-E72D297353CC}">
              <c16:uniqueId val="{00000000-F567-4697-8705-2FFBA9D64401}"/>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52134821428571432"/>
          <c:y val="4.6717672206305363E-2"/>
          <c:w val="0.4366544312169312"/>
          <c:h val="6.15913342448943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xdr:col>
      <xdr:colOff>59546</xdr:colOff>
      <xdr:row>12</xdr:row>
      <xdr:rowOff>73560</xdr:rowOff>
    </xdr:from>
    <xdr:to>
      <xdr:col>1</xdr:col>
      <xdr:colOff>654457</xdr:colOff>
      <xdr:row>16</xdr:row>
      <xdr:rowOff>14945</xdr:rowOff>
    </xdr:to>
    <xdr:pic>
      <xdr:nvPicPr>
        <xdr:cNvPr id="10" name="Image 9">
          <a:extLst>
            <a:ext uri="{FF2B5EF4-FFF2-40B4-BE49-F238E27FC236}">
              <a16:creationId xmlns:a16="http://schemas.microsoft.com/office/drawing/2014/main" id="{4BAA1AD1-952B-1B66-BBD4-13840D555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617" y="2407185"/>
          <a:ext cx="594911" cy="70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639084</xdr:colOff>
      <xdr:row>12</xdr:row>
      <xdr:rowOff>162930</xdr:rowOff>
    </xdr:from>
    <xdr:to>
      <xdr:col>2</xdr:col>
      <xdr:colOff>156483</xdr:colOff>
      <xdr:row>17</xdr:row>
      <xdr:rowOff>127755</xdr:rowOff>
    </xdr:to>
    <xdr:pic>
      <xdr:nvPicPr>
        <xdr:cNvPr id="11" name="Image 10">
          <a:extLst>
            <a:ext uri="{FF2B5EF4-FFF2-40B4-BE49-F238E27FC236}">
              <a16:creationId xmlns:a16="http://schemas.microsoft.com/office/drawing/2014/main" id="{A9A749E0-73BF-E138-410C-E92D8D9D80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155" y="2496555"/>
          <a:ext cx="973364" cy="91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258347</xdr:colOff>
      <xdr:row>1</xdr:row>
      <xdr:rowOff>53578</xdr:rowOff>
    </xdr:from>
    <xdr:to>
      <xdr:col>10</xdr:col>
      <xdr:colOff>721840</xdr:colOff>
      <xdr:row>17</xdr:row>
      <xdr:rowOff>163285</xdr:rowOff>
    </xdr:to>
    <xdr:pic>
      <xdr:nvPicPr>
        <xdr:cNvPr id="2" name="Image 1">
          <a:extLst>
            <a:ext uri="{FF2B5EF4-FFF2-40B4-BE49-F238E27FC236}">
              <a16:creationId xmlns:a16="http://schemas.microsoft.com/office/drawing/2014/main" id="{47706A07-4B82-7D82-0CD4-6B4157ADF714}"/>
            </a:ext>
          </a:extLst>
        </xdr:cNvPr>
        <xdr:cNvPicPr>
          <a:picLocks noChangeAspect="1"/>
        </xdr:cNvPicPr>
      </xdr:nvPicPr>
      <xdr:blipFill>
        <a:blip xmlns:r="http://schemas.openxmlformats.org/officeDocument/2006/relationships" r:embed="rId3"/>
        <a:stretch>
          <a:fillRect/>
        </a:stretch>
      </xdr:blipFill>
      <xdr:spPr>
        <a:xfrm>
          <a:off x="4889878" y="255984"/>
          <a:ext cx="3511493" cy="3395832"/>
        </a:xfrm>
        <a:prstGeom prst="rect">
          <a:avLst/>
        </a:prstGeom>
      </xdr:spPr>
    </xdr:pic>
    <xdr:clientData/>
  </xdr:twoCellAnchor>
  <xdr:twoCellAnchor editAs="oneCell">
    <xdr:from>
      <xdr:col>1</xdr:col>
      <xdr:colOff>142874</xdr:colOff>
      <xdr:row>6</xdr:row>
      <xdr:rowOff>136510</xdr:rowOff>
    </xdr:from>
    <xdr:to>
      <xdr:col>2</xdr:col>
      <xdr:colOff>415017</xdr:colOff>
      <xdr:row>9</xdr:row>
      <xdr:rowOff>151425</xdr:rowOff>
    </xdr:to>
    <xdr:pic>
      <xdr:nvPicPr>
        <xdr:cNvPr id="3" name="Image 2">
          <a:extLst>
            <a:ext uri="{FF2B5EF4-FFF2-40B4-BE49-F238E27FC236}">
              <a16:creationId xmlns:a16="http://schemas.microsoft.com/office/drawing/2014/main" id="{CD9A33E4-8F12-2690-1D14-20BDCEF3E800}"/>
            </a:ext>
          </a:extLst>
        </xdr:cNvPr>
        <xdr:cNvPicPr>
          <a:picLocks noChangeAspect="1"/>
        </xdr:cNvPicPr>
      </xdr:nvPicPr>
      <xdr:blipFill>
        <a:blip xmlns:r="http://schemas.openxmlformats.org/officeDocument/2006/relationships" r:embed="rId4"/>
        <a:stretch>
          <a:fillRect/>
        </a:stretch>
      </xdr:blipFill>
      <xdr:spPr>
        <a:xfrm>
          <a:off x="278945" y="1327135"/>
          <a:ext cx="1728108" cy="586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95250</xdr:colOff>
      <xdr:row>2</xdr:row>
      <xdr:rowOff>99332</xdr:rowOff>
    </xdr:from>
    <xdr:to>
      <xdr:col>34</xdr:col>
      <xdr:colOff>595311</xdr:colOff>
      <xdr:row>13</xdr:row>
      <xdr:rowOff>10071</xdr:rowOff>
    </xdr:to>
    <xdr:graphicFrame macro="">
      <xdr:nvGraphicFramePr>
        <xdr:cNvPr id="3" name="Graphique 2">
          <a:extLst>
            <a:ext uri="{FF2B5EF4-FFF2-40B4-BE49-F238E27FC236}">
              <a16:creationId xmlns:a16="http://schemas.microsoft.com/office/drawing/2014/main" id="{CE3DC7BD-1103-7632-302C-FF3FDCCFBE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72948</xdr:colOff>
      <xdr:row>13</xdr:row>
      <xdr:rowOff>122462</xdr:rowOff>
    </xdr:from>
    <xdr:to>
      <xdr:col>23</xdr:col>
      <xdr:colOff>381000</xdr:colOff>
      <xdr:row>30</xdr:row>
      <xdr:rowOff>138748</xdr:rowOff>
    </xdr:to>
    <xdr:graphicFrame macro="">
      <xdr:nvGraphicFramePr>
        <xdr:cNvPr id="4" name="Graphique 3">
          <a:extLst>
            <a:ext uri="{FF2B5EF4-FFF2-40B4-BE49-F238E27FC236}">
              <a16:creationId xmlns:a16="http://schemas.microsoft.com/office/drawing/2014/main" id="{CD9350B5-57E1-4FF5-8501-D676FC8EF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561294</xdr:colOff>
      <xdr:row>13</xdr:row>
      <xdr:rowOff>122465</xdr:rowOff>
    </xdr:from>
    <xdr:to>
      <xdr:col>29</xdr:col>
      <xdr:colOff>95250</xdr:colOff>
      <xdr:row>30</xdr:row>
      <xdr:rowOff>138751</xdr:rowOff>
    </xdr:to>
    <xdr:graphicFrame macro="">
      <xdr:nvGraphicFramePr>
        <xdr:cNvPr id="9" name="Graphique 8">
          <a:extLst>
            <a:ext uri="{FF2B5EF4-FFF2-40B4-BE49-F238E27FC236}">
              <a16:creationId xmlns:a16="http://schemas.microsoft.com/office/drawing/2014/main" id="{06B53132-5847-4AD0-AD06-83434A53E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284994</xdr:colOff>
      <xdr:row>13</xdr:row>
      <xdr:rowOff>131348</xdr:rowOff>
    </xdr:from>
    <xdr:to>
      <xdr:col>34</xdr:col>
      <xdr:colOff>559594</xdr:colOff>
      <xdr:row>30</xdr:row>
      <xdr:rowOff>147634</xdr:rowOff>
    </xdr:to>
    <xdr:graphicFrame macro="">
      <xdr:nvGraphicFramePr>
        <xdr:cNvPr id="10" name="Graphique 9">
          <a:extLst>
            <a:ext uri="{FF2B5EF4-FFF2-40B4-BE49-F238E27FC236}">
              <a16:creationId xmlns:a16="http://schemas.microsoft.com/office/drawing/2014/main" id="{3E691DF3-012D-4CFD-933B-63BC6CFC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124012</xdr:colOff>
      <xdr:row>58</xdr:row>
      <xdr:rowOff>71436</xdr:rowOff>
    </xdr:from>
    <xdr:to>
      <xdr:col>25</xdr:col>
      <xdr:colOff>11906</xdr:colOff>
      <xdr:row>78</xdr:row>
      <xdr:rowOff>83343</xdr:rowOff>
    </xdr:to>
    <xdr:graphicFrame macro="">
      <xdr:nvGraphicFramePr>
        <xdr:cNvPr id="13" name="Graphique 12">
          <a:extLst>
            <a:ext uri="{FF2B5EF4-FFF2-40B4-BE49-F238E27FC236}">
              <a16:creationId xmlns:a16="http://schemas.microsoft.com/office/drawing/2014/main" id="{0E2DF078-51A0-4EF6-A99F-D5AB53D1E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78050</xdr:colOff>
      <xdr:row>58</xdr:row>
      <xdr:rowOff>107156</xdr:rowOff>
    </xdr:from>
    <xdr:to>
      <xdr:col>34</xdr:col>
      <xdr:colOff>631030</xdr:colOff>
      <xdr:row>78</xdr:row>
      <xdr:rowOff>142875</xdr:rowOff>
    </xdr:to>
    <xdr:graphicFrame macro="">
      <xdr:nvGraphicFramePr>
        <xdr:cNvPr id="7" name="Graphique 6">
          <a:extLst>
            <a:ext uri="{FF2B5EF4-FFF2-40B4-BE49-F238E27FC236}">
              <a16:creationId xmlns:a16="http://schemas.microsoft.com/office/drawing/2014/main" id="{D466AB3A-759E-475F-B9CD-17E79F1CC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95250</xdr:colOff>
      <xdr:row>32</xdr:row>
      <xdr:rowOff>23813</xdr:rowOff>
    </xdr:from>
    <xdr:to>
      <xdr:col>22</xdr:col>
      <xdr:colOff>83156</xdr:colOff>
      <xdr:row>57</xdr:row>
      <xdr:rowOff>115492</xdr:rowOff>
    </xdr:to>
    <xdr:graphicFrame macro="">
      <xdr:nvGraphicFramePr>
        <xdr:cNvPr id="2" name="Graphique 1">
          <a:extLst>
            <a:ext uri="{FF2B5EF4-FFF2-40B4-BE49-F238E27FC236}">
              <a16:creationId xmlns:a16="http://schemas.microsoft.com/office/drawing/2014/main" id="{42F2E87A-C1C4-44E6-A0F2-CA110C2E7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297657</xdr:colOff>
      <xdr:row>32</xdr:row>
      <xdr:rowOff>11907</xdr:rowOff>
    </xdr:from>
    <xdr:to>
      <xdr:col>26</xdr:col>
      <xdr:colOff>273657</xdr:colOff>
      <xdr:row>57</xdr:row>
      <xdr:rowOff>103586</xdr:rowOff>
    </xdr:to>
    <xdr:graphicFrame macro="">
      <xdr:nvGraphicFramePr>
        <xdr:cNvPr id="6" name="Graphique 5">
          <a:extLst>
            <a:ext uri="{FF2B5EF4-FFF2-40B4-BE49-F238E27FC236}">
              <a16:creationId xmlns:a16="http://schemas.microsoft.com/office/drawing/2014/main" id="{82CE7ADC-8F26-447E-8AE5-6A63A805C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428626</xdr:colOff>
      <xdr:row>32</xdr:row>
      <xdr:rowOff>11905</xdr:rowOff>
    </xdr:from>
    <xdr:to>
      <xdr:col>30</xdr:col>
      <xdr:colOff>404626</xdr:colOff>
      <xdr:row>57</xdr:row>
      <xdr:rowOff>103584</xdr:rowOff>
    </xdr:to>
    <xdr:graphicFrame macro="">
      <xdr:nvGraphicFramePr>
        <xdr:cNvPr id="8" name="Graphique 7">
          <a:extLst>
            <a:ext uri="{FF2B5EF4-FFF2-40B4-BE49-F238E27FC236}">
              <a16:creationId xmlns:a16="http://schemas.microsoft.com/office/drawing/2014/main" id="{9BADF59B-81D5-4BD5-BF32-BA150456B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581422</xdr:colOff>
      <xdr:row>31</xdr:row>
      <xdr:rowOff>190499</xdr:rowOff>
    </xdr:from>
    <xdr:to>
      <xdr:col>34</xdr:col>
      <xdr:colOff>535782</xdr:colOff>
      <xdr:row>57</xdr:row>
      <xdr:rowOff>83342</xdr:rowOff>
    </xdr:to>
    <xdr:graphicFrame macro="">
      <xdr:nvGraphicFramePr>
        <xdr:cNvPr id="5" name="Graphique 4">
          <a:extLst>
            <a:ext uri="{FF2B5EF4-FFF2-40B4-BE49-F238E27FC236}">
              <a16:creationId xmlns:a16="http://schemas.microsoft.com/office/drawing/2014/main" id="{C6EE5398-AF55-9955-22AC-300B8A9DD4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142874</xdr:colOff>
      <xdr:row>1</xdr:row>
      <xdr:rowOff>95250</xdr:rowOff>
    </xdr:from>
    <xdr:to>
      <xdr:col>36</xdr:col>
      <xdr:colOff>634999</xdr:colOff>
      <xdr:row>12</xdr:row>
      <xdr:rowOff>0</xdr:rowOff>
    </xdr:to>
    <xdr:graphicFrame macro="">
      <xdr:nvGraphicFramePr>
        <xdr:cNvPr id="2" name="Graphique 1">
          <a:extLst>
            <a:ext uri="{FF2B5EF4-FFF2-40B4-BE49-F238E27FC236}">
              <a16:creationId xmlns:a16="http://schemas.microsoft.com/office/drawing/2014/main" id="{306C59EC-4FC6-4FF7-B740-D961B4B94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181428</xdr:colOff>
      <xdr:row>12</xdr:row>
      <xdr:rowOff>107041</xdr:rowOff>
    </xdr:from>
    <xdr:to>
      <xdr:col>24</xdr:col>
      <xdr:colOff>227542</xdr:colOff>
      <xdr:row>31</xdr:row>
      <xdr:rowOff>134666</xdr:rowOff>
    </xdr:to>
    <xdr:graphicFrame macro="">
      <xdr:nvGraphicFramePr>
        <xdr:cNvPr id="3" name="Graphique 2">
          <a:extLst>
            <a:ext uri="{FF2B5EF4-FFF2-40B4-BE49-F238E27FC236}">
              <a16:creationId xmlns:a16="http://schemas.microsoft.com/office/drawing/2014/main" id="{28FA96CD-AD77-42B9-87AD-37CEB549D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386292</xdr:colOff>
      <xdr:row>12</xdr:row>
      <xdr:rowOff>107043</xdr:rowOff>
    </xdr:from>
    <xdr:to>
      <xdr:col>30</xdr:col>
      <xdr:colOff>402167</xdr:colOff>
      <xdr:row>31</xdr:row>
      <xdr:rowOff>134668</xdr:rowOff>
    </xdr:to>
    <xdr:graphicFrame macro="">
      <xdr:nvGraphicFramePr>
        <xdr:cNvPr id="4" name="Graphique 3">
          <a:extLst>
            <a:ext uri="{FF2B5EF4-FFF2-40B4-BE49-F238E27FC236}">
              <a16:creationId xmlns:a16="http://schemas.microsoft.com/office/drawing/2014/main" id="{1C0871F0-7A6A-4DC5-A06B-6B1D06CBB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545042</xdr:colOff>
      <xdr:row>12</xdr:row>
      <xdr:rowOff>119895</xdr:rowOff>
    </xdr:from>
    <xdr:to>
      <xdr:col>36</xdr:col>
      <xdr:colOff>583029</xdr:colOff>
      <xdr:row>31</xdr:row>
      <xdr:rowOff>147520</xdr:rowOff>
    </xdr:to>
    <xdr:graphicFrame macro="">
      <xdr:nvGraphicFramePr>
        <xdr:cNvPr id="5" name="Graphique 4">
          <a:extLst>
            <a:ext uri="{FF2B5EF4-FFF2-40B4-BE49-F238E27FC236}">
              <a16:creationId xmlns:a16="http://schemas.microsoft.com/office/drawing/2014/main" id="{57EB42F4-ED7A-41A6-8307-30E8AC121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265906</xdr:colOff>
      <xdr:row>32</xdr:row>
      <xdr:rowOff>130969</xdr:rowOff>
    </xdr:from>
    <xdr:to>
      <xdr:col>36</xdr:col>
      <xdr:colOff>646906</xdr:colOff>
      <xdr:row>58</xdr:row>
      <xdr:rowOff>79375</xdr:rowOff>
    </xdr:to>
    <xdr:graphicFrame macro="">
      <xdr:nvGraphicFramePr>
        <xdr:cNvPr id="6" name="Graphique 5">
          <a:extLst>
            <a:ext uri="{FF2B5EF4-FFF2-40B4-BE49-F238E27FC236}">
              <a16:creationId xmlns:a16="http://schemas.microsoft.com/office/drawing/2014/main" id="{272D8338-5274-41FD-BA12-EA9FFD0DF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185208</xdr:colOff>
      <xdr:row>32</xdr:row>
      <xdr:rowOff>158751</xdr:rowOff>
    </xdr:from>
    <xdr:to>
      <xdr:col>22</xdr:col>
      <xdr:colOff>666749</xdr:colOff>
      <xdr:row>58</xdr:row>
      <xdr:rowOff>79375</xdr:rowOff>
    </xdr:to>
    <xdr:graphicFrame macro="">
      <xdr:nvGraphicFramePr>
        <xdr:cNvPr id="7" name="Graphique 6">
          <a:extLst>
            <a:ext uri="{FF2B5EF4-FFF2-40B4-BE49-F238E27FC236}">
              <a16:creationId xmlns:a16="http://schemas.microsoft.com/office/drawing/2014/main" id="{32D51214-C4A6-4DAA-9773-2CB616198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37041</xdr:colOff>
      <xdr:row>32</xdr:row>
      <xdr:rowOff>153459</xdr:rowOff>
    </xdr:from>
    <xdr:to>
      <xdr:col>27</xdr:col>
      <xdr:colOff>412750</xdr:colOff>
      <xdr:row>58</xdr:row>
      <xdr:rowOff>95250</xdr:rowOff>
    </xdr:to>
    <xdr:graphicFrame macro="">
      <xdr:nvGraphicFramePr>
        <xdr:cNvPr id="8" name="Graphique 7">
          <a:extLst>
            <a:ext uri="{FF2B5EF4-FFF2-40B4-BE49-F238E27FC236}">
              <a16:creationId xmlns:a16="http://schemas.microsoft.com/office/drawing/2014/main" id="{A9C96801-136B-4EF5-8AB1-453076DFF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539750</xdr:colOff>
      <xdr:row>32</xdr:row>
      <xdr:rowOff>132292</xdr:rowOff>
    </xdr:from>
    <xdr:to>
      <xdr:col>32</xdr:col>
      <xdr:colOff>158750</xdr:colOff>
      <xdr:row>58</xdr:row>
      <xdr:rowOff>79375</xdr:rowOff>
    </xdr:to>
    <xdr:graphicFrame macro="">
      <xdr:nvGraphicFramePr>
        <xdr:cNvPr id="9" name="Graphique 8">
          <a:extLst>
            <a:ext uri="{FF2B5EF4-FFF2-40B4-BE49-F238E27FC236}">
              <a16:creationId xmlns:a16="http://schemas.microsoft.com/office/drawing/2014/main" id="{B9B6E2B0-0AA2-434D-A652-A4419807D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123</xdr:row>
      <xdr:rowOff>33337</xdr:rowOff>
    </xdr:from>
    <xdr:to>
      <xdr:col>8</xdr:col>
      <xdr:colOff>371475</xdr:colOff>
      <xdr:row>143</xdr:row>
      <xdr:rowOff>28575</xdr:rowOff>
    </xdr:to>
    <xdr:graphicFrame macro="">
      <xdr:nvGraphicFramePr>
        <xdr:cNvPr id="3" name="Graphique 2">
          <a:extLst>
            <a:ext uri="{FF2B5EF4-FFF2-40B4-BE49-F238E27FC236}">
              <a16:creationId xmlns:a16="http://schemas.microsoft.com/office/drawing/2014/main" id="{7A77E037-EF8C-21D5-043E-514AD99EB3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4AA3E8-F194-4F20-846A-7F95FF60212E}" name="Tableau1" displayName="Tableau1" ref="A1:R293" totalsRowShown="0" headerRowDxfId="35">
  <autoFilter ref="A1:R293" xr:uid="{E84AA3E8-F194-4F20-846A-7F95FF60212E}"/>
  <sortState xmlns:xlrd2="http://schemas.microsoft.com/office/spreadsheetml/2017/richdata2" ref="A118:R137">
    <sortCondition ref="J1:J293"/>
  </sortState>
  <tableColumns count="18">
    <tableColumn id="1" xr3:uid="{DEE1D177-1B01-4DDE-BC4A-FBD57149F76C}" name="mode de transport "/>
    <tableColumn id="3" xr3:uid="{0B4D9EAF-F329-479C-AEEF-7CBE862C107A}" name="Voie de transport"/>
    <tableColumn id="2" xr3:uid="{9777295D-5C44-457D-91D6-776B5593A86E}" name="Type de chargement"/>
    <tableColumn id="4" xr3:uid="{7AD23913-6D90-410B-9920-EC69DABF82AD}" name="Densité de chargement "/>
    <tableColumn id="5" xr3:uid="{D7513A5C-EFD5-4E4A-987B-778C24E7611A}" name="Type de véhicule"/>
    <tableColumn id="15" xr3:uid="{40015E83-9736-4074-87AD-2E037AE6AEE4}" name="Taille"/>
    <tableColumn id="14" xr3:uid="{E05FD412-08C9-4FF6-AB08-87DF4C49BF13}" name="Mj/tkm"/>
    <tableColumn id="11" xr3:uid="{FB4C6096-EE01-4F76-95DC-524BB31B542F}" name="Capacité de charge (t) "/>
    <tableColumn id="18" xr3:uid="{30FD5426-97A9-4839-8CB4-67B06A81D162}" name="% trajet à vide "/>
    <tableColumn id="6" xr3:uid="{DF74AA7B-F04A-4E53-B41B-E217C3A4E46C}" name="Type emissions"/>
    <tableColumn id="7" xr3:uid="{371A1FAD-7AB4-4484-828A-338627739793}" name="CO2-eq. "/>
    <tableColumn id="8" xr3:uid="{99FBD76A-6429-435C-B964-8C9AF4B4E2F3}" name="SO2 "/>
    <tableColumn id="9" xr3:uid="{F958667C-8445-4387-A4E0-08B989BD3BE9}" name="PM10"/>
    <tableColumn id="10" xr3:uid="{68E91A20-A39C-425F-9460-35C374C98B94}" name="NOx "/>
    <tableColumn id="17" xr3:uid="{9E703BFB-5394-45EB-84C7-47871F539759}" name="Unité"/>
    <tableColumn id="12" xr3:uid="{C0D5CADF-56FA-4EE8-AAAF-5FD62B79B6F9}" name="source données émissions "/>
    <tableColumn id="13" xr3:uid="{E065B725-3728-43B0-A677-6448AA2D3C04}" name="Voie X Fret" dataDxfId="34">
      <calculatedColumnFormula>Tableau1[[#This Row],[Voie de transport]]&amp;Tableau1[[#This Row],[Type de chargement]]</calculatedColumnFormula>
    </tableColumn>
    <tableColumn id="16" xr3:uid="{E3D1B42A-2DF7-46B4-9E22-D4D6B784BB74}" name="Voie X Fret X densité" dataDxfId="33">
      <calculatedColumnFormula>Tableau1[[#This Row],[Voie X Fret]]&amp;Tableau1[[#This Row],[Densité de chargement ]]</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337ACD0-878F-4049-BE0E-4909B11299F3}" name="FretRoutier" displayName="FretRoutier" ref="E24:E26" totalsRowShown="0">
  <autoFilter ref="E24:E26" xr:uid="{0337ACD0-878F-4049-BE0E-4909B11299F3}"/>
  <tableColumns count="1">
    <tableColumn id="1" xr3:uid="{7E84D127-BFD6-4B1A-9579-E26A9A157D2E}" name="Routier">
      <calculatedColumnFormula>#REF!</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369AEF3-DC98-42F8-B9DC-D74A36C8CC04}" name="VecteurRoutier" displayName="VecteurRoutier" ref="K24:K37" totalsRowShown="0">
  <autoFilter ref="K24:K37" xr:uid="{8369AEF3-DC98-42F8-B9DC-D74A36C8CC04}"/>
  <tableColumns count="1">
    <tableColumn id="1" xr3:uid="{4F3E9828-F23B-4AC5-AAB6-1368E0449F80}" name="Routier"/>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33700-C4AC-4944-B91E-15A22C726B1B}" name="VecteurFerroviaire" displayName="VecteurFerroviaire" ref="K3:K5" totalsRowShown="0" headerRowDxfId="5" headerRowBorderDxfId="4" tableBorderDxfId="3">
  <autoFilter ref="K3:K5" xr:uid="{A6533700-C4AC-4944-B91E-15A22C726B1B}"/>
  <tableColumns count="1">
    <tableColumn id="1" xr3:uid="{D955F5FB-7099-4678-B351-3205B6BEA948}" name="Ferroviair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B14C39-1C6C-4498-B2AB-E73D9DDA2E05}" name="VecteurFluvial" displayName="VecteurFluvial" ref="K8:K12" totalsRowShown="0" headerRowDxfId="2" headerRowBorderDxfId="1" tableBorderDxfId="0">
  <autoFilter ref="K8:K12" xr:uid="{EFB14C39-1C6C-4498-B2AB-E73D9DDA2E05}"/>
  <tableColumns count="1">
    <tableColumn id="1" xr3:uid="{FF733161-7394-4D71-98C6-800CF0931ECE}" name="Fluvi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C21E4D-4942-44A3-BC02-6CCE94EB8C79}" name="Tableau6" displayName="Tableau6" ref="A72:J124" totalsRowShown="0" headerRowDxfId="32">
  <autoFilter ref="A72:J124" xr:uid="{9DC21E4D-4942-44A3-BC02-6CCE94EB8C79}">
    <filterColumn colId="9">
      <filters>
        <filter val="Stream"/>
      </filters>
    </filterColumn>
  </autoFilter>
  <tableColumns count="10">
    <tableColumn id="1" xr3:uid="{5FE82222-DB50-448B-A618-3317CB59CFFC}" name="Carburant" dataDxfId="31"/>
    <tableColumn id="2" xr3:uid="{1CE172D6-2BFD-4D2B-9F2F-3EDFE9473189}" name="mode de transport" dataDxfId="30"/>
    <tableColumn id="3" xr3:uid="{1A2F1202-9B5A-4E8D-865E-A89364C8A3CE}" name="unité "/>
    <tableColumn id="4" xr3:uid="{31014D7E-B5A8-4294-BDBF-046663918C52}" name="Type d'émissions"/>
    <tableColumn id="5" xr3:uid="{775E2A15-98A6-4A4B-A628-536E6DB7CEA3}" name="CO2-eq. " dataDxfId="29">
      <calculatedColumnFormula>F23*E23*D23</calculatedColumnFormula>
    </tableColumn>
    <tableColumn id="6" xr3:uid="{43477176-3588-4E84-B4BD-8D4937E49072}" name="SO2 " dataDxfId="28"/>
    <tableColumn id="7" xr3:uid="{4DDE15A0-C82E-45ED-9EBA-136022EDD6F3}" name="PM10" dataDxfId="27"/>
    <tableColumn id="8" xr3:uid="{F50946B2-F64B-4372-B484-210F5E804047}" name="NOx " dataDxfId="26"/>
    <tableColumn id="10" xr3:uid="{0B50938A-5014-492B-96EC-AA85A0F8FAAB}" name="unité de consommation" dataDxfId="25"/>
    <tableColumn id="9" xr3:uid="{345A202C-73EA-4789-892E-6F47700CFBA1}" name="Source " dataDxfId="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84CFC6C-1D15-4FB2-9F52-5D8A70728991}" name="Tableau7" displayName="Tableau7" ref="A1:G33" totalsRowShown="0" headerRowDxfId="23">
  <autoFilter ref="A1:G33" xr:uid="{B84CFC6C-1D15-4FB2-9F52-5D8A70728991}"/>
  <sortState xmlns:xlrd2="http://schemas.microsoft.com/office/spreadsheetml/2017/richdata2" ref="A2:G33">
    <sortCondition ref="B1:B33"/>
  </sortState>
  <tableColumns count="7">
    <tableColumn id="1" xr3:uid="{B687D154-CC27-4C04-9A4F-D320EE6FE951}" name="Type de transport "/>
    <tableColumn id="2" xr3:uid="{A16BCB66-F6DD-4572-B976-3D72BCDD8EEB}" name="Carburant"/>
    <tableColumn id="3" xr3:uid="{D2BBEF86-6DBC-42B0-9B35-79C803FB544B}" name="Type emissions"/>
    <tableColumn id="4" xr3:uid="{723D674A-57C6-4DB8-8062-880F9D9630C6}" name="CO2-eq. "/>
    <tableColumn id="6" xr3:uid="{F77C2AAF-63A1-4F8C-A5EB-AA28F7BCBEEC}" name="PM10"/>
    <tableColumn id="7" xr3:uid="{2913BBBF-C663-46FC-8AA3-E550D6158523}" name="NOx "/>
    <tableColumn id="5" xr3:uid="{BBFBA65E-8A21-4235-B7D3-C7D81AA670EE}" name="Sour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4029B95-2381-43E1-960C-652943ABE306}" name="Tableau10" displayName="Tableau10" ref="A2:H6" totalsRowShown="0">
  <autoFilter ref="A2:H6" xr:uid="{B4029B95-2381-43E1-960C-652943ABE306}"/>
  <tableColumns count="8">
    <tableColumn id="1" xr3:uid="{1402D467-ACBE-43A3-92B6-EBD200135268}" name="Type de chargement"/>
    <tableColumn id="9" xr3:uid="{0E1671C0-D895-4BCD-8118-4D3C9CD29836}" name="Carburant "/>
    <tableColumn id="3" xr3:uid="{F069B25D-3706-435B-A11A-60893F57FCDD}" name="CO2-eq. " dataDxfId="22">
      <calculatedColumnFormula>$L3*L8</calculatedColumnFormula>
    </tableColumn>
    <tableColumn id="4" xr3:uid="{85B6B089-6911-4DC1-96EC-CB66A8CA01D7}" name="SO2 " dataDxfId="21">
      <calculatedColumnFormula>$L3*M8</calculatedColumnFormula>
    </tableColumn>
    <tableColumn id="5" xr3:uid="{C1363A17-B5AC-4ACB-9498-94A66663AA6B}" name="PM10" dataDxfId="20">
      <calculatedColumnFormula>$L3*N8</calculatedColumnFormula>
    </tableColumn>
    <tableColumn id="6" xr3:uid="{6695AA5A-1814-46E4-84FA-2A6DC086A956}" name="NOx " dataDxfId="19">
      <calculatedColumnFormula>$L3*O8</calculatedColumnFormula>
    </tableColumn>
    <tableColumn id="7" xr3:uid="{93EED2B9-DC79-42EB-9156-6551564D70D3}" name="Unité"/>
    <tableColumn id="8" xr3:uid="{D786A4A9-F3A3-47D3-8DDA-2F8292222FB3}" name="source données émissions "/>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21038ED-B802-4D2A-A49D-80EEA1FDAB2D}" name="Tableau9" displayName="Tableau9" ref="A9:G11" totalsRowShown="0">
  <autoFilter ref="A9:G11" xr:uid="{721038ED-B802-4D2A-A49D-80EEA1FDAB2D}"/>
  <tableColumns count="7">
    <tableColumn id="1" xr3:uid="{7D9EE770-FA51-44D4-ADAD-74D3DDCF3B3A}" name="Carburant "/>
    <tableColumn id="2" xr3:uid="{1D0B56D5-E42F-45B0-A35B-C29B803B6DAF}" name="CO2-eq. "/>
    <tableColumn id="3" xr3:uid="{0F5F51E2-3D54-4365-BBE1-F877466BB698}" name="SO2 "/>
    <tableColumn id="4" xr3:uid="{F5DECD10-7572-4FAB-947C-8E79022612BA}" name="PM10"/>
    <tableColumn id="5" xr3:uid="{D34F4060-0F46-4773-A98C-8A3043A65B27}" name="NOx "/>
    <tableColumn id="6" xr3:uid="{0CFA22F3-E20D-48E9-BA95-876EF4B5E04E}" name="Unité"/>
    <tableColumn id="7" xr3:uid="{2778A244-A963-4593-98B1-4FC10CD95EC0}" name="source données émissions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CAB1B4-5964-4E30-9E31-447487D80277}" name="Tableau8" displayName="Tableau8" ref="B5:I119" totalsRowShown="0" headerRowDxfId="18" headerRowBorderDxfId="17" tableBorderDxfId="16" totalsRowBorderDxfId="15">
  <autoFilter ref="B5:I119" xr:uid="{ECCAB1B4-5964-4E30-9E31-447487D80277}">
    <filterColumn colId="0">
      <filters>
        <filter val="Conteneur"/>
      </filters>
    </filterColumn>
  </autoFilter>
  <tableColumns count="8">
    <tableColumn id="1" xr3:uid="{2CA787DE-BDAE-4878-9B44-EC4D6ECC6BAD}" name="type de chargement" dataDxfId="14"/>
    <tableColumn id="2" xr3:uid="{B0D5DEF0-A2E9-4C24-8C46-BA6CEC9BF701}" name="Densité chargement " dataDxfId="13"/>
    <tableColumn id="3" xr3:uid="{2A2B5E42-D7CA-499D-A81E-7CFDF322654A}" name="voie navigable" dataDxfId="12"/>
    <tableColumn id="4" xr3:uid="{066A5EC9-B4EF-405F-86AD-A2FE3DE9833A}" name="bateau " dataDxfId="11"/>
    <tableColumn id="5" xr3:uid="{004B2A6E-C215-4948-87AC-DACABB98087C}" name="TEU" dataDxfId="10"/>
    <tableColumn id="6" xr3:uid="{6293C0E3-02F6-4C3D-8149-4B34858914F1}" name="Capacité charge (T)" dataDxfId="9"/>
    <tableColumn id="7" xr3:uid="{5223516F-8A8B-4588-94C7-9BF42FAA362F}" name="consommation énergétique (MJ/tkm)"/>
    <tableColumn id="8" xr3:uid="{A94858B6-BD78-42DF-9E1F-84D659873A9B}" name="valable en wallonie " dataDxfId="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DD30F07-9289-4369-B362-AD5ACC05654D}" name="Tableau5" displayName="Tableau5" ref="A25:K48" totalsRowShown="0">
  <autoFilter ref="A25:K48" xr:uid="{CDD30F07-9289-4369-B362-AD5ACC05654D}"/>
  <tableColumns count="11">
    <tableColumn id="1" xr3:uid="{7C385CF5-D111-406A-A394-98361B2EAC46}" name="mode de transport "/>
    <tableColumn id="2" xr3:uid="{C5B77764-6226-43F6-9D1C-7327754D0A99}" name="Type de véhicule"/>
    <tableColumn id="3" xr3:uid="{16776099-3C2D-401C-9F7F-CF4AD3DF7A0D}" name="Accidents"/>
    <tableColumn id="4" xr3:uid="{E975E5AD-F2D8-4C69-91FA-C1915F3CAF83}" name="Bruit"/>
    <tableColumn id="5" xr3:uid="{88DA4DCC-29FD-4428-B04A-BAE29C49B250}" name="Pollution de l'air"/>
    <tableColumn id="6" xr3:uid="{483F23DC-C78A-4FDD-AB7E-AD77F6906B99}" name="Changements climatiques"/>
    <tableColumn id="7" xr3:uid="{53E876CB-83EC-4AAA-9EC0-3097731ADF11}" name="Effets de coupure"/>
    <tableColumn id="8" xr3:uid="{EA8996BF-07BF-4812-B2B5-C344299D2E20}" name="Effets en amont"/>
    <tableColumn id="11" xr3:uid="{80E6D862-0806-439F-9E79-C4C8D7A3B722}" name="Congestion " dataDxfId="7">
      <calculatedColumnFormula>$B$12/100</calculatedColumnFormula>
    </tableColumn>
    <tableColumn id="9" xr3:uid="{B7367A95-C813-4D58-8D96-837B51AA16C8}" name="Coûts totaux"/>
    <tableColumn id="10" xr3:uid="{6D714E2A-C63A-45B2-92D5-BFFBA4E6E2BB}" name="Sourc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8AE280-5682-4977-9CEE-346CB641807A}" name="FretFluvial" displayName="FretFluvial" ref="E8:E10" totalsRowShown="0">
  <autoFilter ref="E8:E10" xr:uid="{F78AE280-5682-4977-9CEE-346CB641807A}"/>
  <tableColumns count="1">
    <tableColumn id="1" xr3:uid="{37517042-1FFE-4FD6-B030-D9CDE398D419}" name="Fluvial">
      <calculatedColumnFormula>E5</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ECA8D1-FF45-4748-AD42-8CB72EF6E3A6}" name="FretFerroviaire" displayName="FretFerroviaire" ref="E3:E5" totalsRowShown="0" headerRowDxfId="6">
  <autoFilter ref="E3:E5" xr:uid="{AFECA8D1-FF45-4748-AD42-8CB72EF6E3A6}"/>
  <tableColumns count="1">
    <tableColumn id="1" xr3:uid="{C6E74554-8994-4458-BBEA-1E1315E3176D}" name="Ferroviaire ">
      <calculatedColumnFormula>E27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riane.braconnier@icedd.be"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printerSettings" Target="../printerSettings/printerSettings4.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22FB-E158-4749-95F8-34DD0367844B}">
  <sheetPr>
    <tabColor rgb="FFCC00FF"/>
  </sheetPr>
  <dimension ref="A1:P117"/>
  <sheetViews>
    <sheetView showGridLines="0" tabSelected="1" zoomScale="160" zoomScaleNormal="160" workbookViewId="0">
      <selection activeCell="M6" sqref="M6"/>
    </sheetView>
  </sheetViews>
  <sheetFormatPr baseColWidth="10" defaultRowHeight="14.4" x14ac:dyDescent="0.3"/>
  <cols>
    <col min="1" max="1" width="2" style="30" customWidth="1"/>
    <col min="2" max="2" width="21.88671875" bestFit="1" customWidth="1"/>
    <col min="3" max="3" width="6.88671875" customWidth="1"/>
    <col min="4" max="4" width="15.88671875" customWidth="1"/>
    <col min="11" max="11" width="11.44140625" customWidth="1"/>
    <col min="12" max="12" width="2.109375" style="30" customWidth="1"/>
    <col min="13" max="16" width="11.44140625" style="30"/>
  </cols>
  <sheetData>
    <row r="1" spans="2:11" s="30" customFormat="1" ht="15" thickBot="1" x14ac:dyDescent="0.35"/>
    <row r="2" spans="2:11" x14ac:dyDescent="0.3">
      <c r="B2" s="72"/>
      <c r="C2" s="73"/>
      <c r="D2" s="73"/>
      <c r="E2" s="73"/>
      <c r="F2" s="73"/>
      <c r="G2" s="73"/>
      <c r="H2" s="73"/>
      <c r="I2" s="73"/>
      <c r="J2" s="73"/>
      <c r="K2" s="74"/>
    </row>
    <row r="3" spans="2:11" x14ac:dyDescent="0.3">
      <c r="B3" s="67"/>
      <c r="K3" s="68"/>
    </row>
    <row r="4" spans="2:11" x14ac:dyDescent="0.3">
      <c r="B4" s="67"/>
      <c r="K4" s="68"/>
    </row>
    <row r="5" spans="2:11" x14ac:dyDescent="0.3">
      <c r="B5" s="67"/>
      <c r="K5" s="68"/>
    </row>
    <row r="6" spans="2:11" ht="33.6" x14ac:dyDescent="0.3">
      <c r="B6" s="235" t="s">
        <v>287</v>
      </c>
      <c r="C6" s="236"/>
      <c r="D6" s="236"/>
      <c r="E6" s="236"/>
      <c r="K6" s="68"/>
    </row>
    <row r="7" spans="2:11" x14ac:dyDescent="0.3">
      <c r="B7" s="67"/>
      <c r="K7" s="68"/>
    </row>
    <row r="8" spans="2:11" x14ac:dyDescent="0.3">
      <c r="B8" s="75"/>
      <c r="C8" s="65"/>
      <c r="D8" s="66"/>
      <c r="E8" s="66"/>
      <c r="K8" s="68"/>
    </row>
    <row r="9" spans="2:11" x14ac:dyDescent="0.3">
      <c r="B9" s="75"/>
      <c r="C9" s="65"/>
      <c r="D9" s="66"/>
      <c r="E9" s="66"/>
      <c r="K9" s="68"/>
    </row>
    <row r="10" spans="2:11" x14ac:dyDescent="0.3">
      <c r="B10" s="75"/>
      <c r="C10" s="65"/>
      <c r="D10" s="66"/>
      <c r="E10" s="66"/>
      <c r="K10" s="68"/>
    </row>
    <row r="11" spans="2:11" x14ac:dyDescent="0.3">
      <c r="B11" s="67"/>
      <c r="K11" s="68"/>
    </row>
    <row r="12" spans="2:11" x14ac:dyDescent="0.3">
      <c r="B12" s="67"/>
      <c r="K12" s="68"/>
    </row>
    <row r="13" spans="2:11" x14ac:dyDescent="0.3">
      <c r="B13" s="67"/>
      <c r="K13" s="68"/>
    </row>
    <row r="14" spans="2:11" x14ac:dyDescent="0.3">
      <c r="B14" s="67"/>
      <c r="K14" s="68"/>
    </row>
    <row r="15" spans="2:11" x14ac:dyDescent="0.3">
      <c r="B15" s="67"/>
      <c r="K15" s="68"/>
    </row>
    <row r="16" spans="2:11" x14ac:dyDescent="0.3">
      <c r="B16" s="67"/>
      <c r="D16" s="228" t="s">
        <v>290</v>
      </c>
      <c r="E16" s="227" t="s">
        <v>292</v>
      </c>
      <c r="F16" s="228"/>
      <c r="K16" s="68"/>
    </row>
    <row r="17" spans="2:11" x14ac:dyDescent="0.3">
      <c r="B17" s="67"/>
      <c r="D17" s="228" t="s">
        <v>288</v>
      </c>
      <c r="E17" s="227" t="s">
        <v>289</v>
      </c>
      <c r="F17" s="228"/>
      <c r="K17" s="68"/>
    </row>
    <row r="18" spans="2:11" ht="15" thickBot="1" x14ac:dyDescent="0.35">
      <c r="B18" s="69"/>
      <c r="C18" s="70"/>
      <c r="D18" s="70"/>
      <c r="E18" s="70"/>
      <c r="F18" s="70"/>
      <c r="G18" s="70"/>
      <c r="H18" s="70"/>
      <c r="I18" s="70"/>
      <c r="J18" s="70"/>
      <c r="K18" s="71"/>
    </row>
    <row r="19" spans="2:11" ht="15" customHeight="1" x14ac:dyDescent="0.3">
      <c r="B19" s="237" t="s">
        <v>322</v>
      </c>
      <c r="C19" s="238"/>
      <c r="D19" s="238"/>
      <c r="E19" s="238"/>
      <c r="F19" s="238"/>
      <c r="G19" s="238"/>
      <c r="H19" s="238"/>
      <c r="I19" s="238"/>
      <c r="J19" s="238"/>
      <c r="K19" s="239"/>
    </row>
    <row r="20" spans="2:11" ht="15" thickBot="1" x14ac:dyDescent="0.35">
      <c r="B20" s="240"/>
      <c r="C20" s="241"/>
      <c r="D20" s="241"/>
      <c r="E20" s="241"/>
      <c r="F20" s="241"/>
      <c r="G20" s="241"/>
      <c r="H20" s="241"/>
      <c r="I20" s="241"/>
      <c r="J20" s="241"/>
      <c r="K20" s="242"/>
    </row>
    <row r="21" spans="2:11" ht="9" customHeight="1" x14ac:dyDescent="0.3">
      <c r="B21" s="30"/>
      <c r="C21" s="30"/>
      <c r="D21" s="30"/>
      <c r="E21" s="30"/>
      <c r="F21" s="30"/>
      <c r="G21" s="30"/>
      <c r="H21" s="30"/>
      <c r="I21" s="30"/>
      <c r="J21" s="30"/>
      <c r="K21" s="30"/>
    </row>
    <row r="22" spans="2:11" ht="15" customHeight="1" x14ac:dyDescent="0.3">
      <c r="B22" s="243" t="s">
        <v>323</v>
      </c>
      <c r="C22" s="243"/>
      <c r="D22" s="243"/>
      <c r="E22" s="243"/>
      <c r="F22" s="243"/>
      <c r="G22" s="243"/>
      <c r="H22" s="243"/>
      <c r="I22" s="243"/>
      <c r="J22" s="243"/>
      <c r="K22" s="243"/>
    </row>
    <row r="23" spans="2:11" x14ac:dyDescent="0.3">
      <c r="B23" s="243"/>
      <c r="C23" s="243"/>
      <c r="D23" s="243"/>
      <c r="E23" s="243"/>
      <c r="F23" s="243"/>
      <c r="G23" s="243"/>
      <c r="H23" s="243"/>
      <c r="I23" s="243"/>
      <c r="J23" s="243"/>
      <c r="K23" s="243"/>
    </row>
    <row r="24" spans="2:11" x14ac:dyDescent="0.3">
      <c r="B24" s="229"/>
      <c r="C24" s="229"/>
      <c r="D24" s="229"/>
      <c r="E24" s="229"/>
      <c r="F24" s="229"/>
      <c r="G24" s="229"/>
      <c r="H24" s="229"/>
      <c r="I24" s="229"/>
      <c r="J24" s="229"/>
      <c r="K24" s="229"/>
    </row>
    <row r="25" spans="2:11" x14ac:dyDescent="0.3">
      <c r="B25" s="229"/>
      <c r="C25" s="229"/>
      <c r="D25" s="229"/>
      <c r="E25" s="229"/>
      <c r="F25" s="229"/>
      <c r="G25" s="229"/>
      <c r="H25" s="229"/>
      <c r="I25" s="229"/>
      <c r="J25" s="229"/>
      <c r="K25" s="229"/>
    </row>
    <row r="26" spans="2:11" x14ac:dyDescent="0.3">
      <c r="B26" s="229"/>
      <c r="C26" s="229"/>
      <c r="D26" s="229"/>
      <c r="E26" s="229"/>
      <c r="F26" s="229"/>
      <c r="G26" s="229"/>
      <c r="H26" s="229"/>
      <c r="I26" s="229"/>
      <c r="J26" s="229"/>
      <c r="K26" s="229"/>
    </row>
    <row r="27" spans="2:11" x14ac:dyDescent="0.3">
      <c r="B27" s="30"/>
      <c r="C27" s="30"/>
      <c r="D27" s="30"/>
      <c r="E27" s="30"/>
      <c r="F27" s="30"/>
      <c r="G27" s="30"/>
      <c r="H27" s="30"/>
      <c r="I27" s="30"/>
      <c r="J27" s="30"/>
      <c r="K27" s="30"/>
    </row>
    <row r="28" spans="2:11" x14ac:dyDescent="0.3">
      <c r="B28" s="30"/>
      <c r="C28" s="30"/>
      <c r="D28" s="30"/>
      <c r="E28" s="30"/>
      <c r="F28" s="30"/>
      <c r="G28" s="30"/>
      <c r="H28" s="30"/>
      <c r="I28" s="30"/>
      <c r="J28" s="30"/>
      <c r="K28" s="30"/>
    </row>
    <row r="29" spans="2:11" x14ac:dyDescent="0.3">
      <c r="B29" s="30"/>
      <c r="C29" s="30"/>
      <c r="D29" s="30"/>
      <c r="E29" s="30"/>
      <c r="F29" s="30"/>
      <c r="G29" s="30"/>
      <c r="H29" s="30"/>
      <c r="I29" s="30"/>
      <c r="J29" s="30"/>
      <c r="K29" s="30"/>
    </row>
    <row r="30" spans="2:11" x14ac:dyDescent="0.3">
      <c r="B30" s="30"/>
      <c r="C30" s="30"/>
      <c r="D30" s="30"/>
      <c r="E30" s="30"/>
      <c r="F30" s="30"/>
      <c r="G30" s="30"/>
      <c r="H30" s="30"/>
      <c r="I30" s="30"/>
      <c r="J30" s="30"/>
      <c r="K30" s="30"/>
    </row>
    <row r="31" spans="2:11" x14ac:dyDescent="0.3">
      <c r="B31" s="30"/>
      <c r="C31" s="30"/>
      <c r="D31" s="30"/>
      <c r="E31" s="30"/>
      <c r="F31" s="30"/>
      <c r="G31" s="30"/>
      <c r="H31" s="30"/>
      <c r="I31" s="30"/>
      <c r="J31" s="30"/>
      <c r="K31" s="30"/>
    </row>
    <row r="32" spans="2:11" x14ac:dyDescent="0.3">
      <c r="B32" s="30"/>
      <c r="C32" s="30"/>
      <c r="D32" s="30"/>
      <c r="E32" s="30"/>
      <c r="F32" s="30"/>
      <c r="G32" s="30"/>
      <c r="H32" s="30"/>
      <c r="I32" s="30"/>
      <c r="J32" s="30"/>
      <c r="K32" s="30"/>
    </row>
    <row r="33" spans="2:11" x14ac:dyDescent="0.3">
      <c r="B33" s="30"/>
      <c r="C33" s="30"/>
      <c r="D33" s="30"/>
      <c r="E33" s="30"/>
      <c r="F33" s="30"/>
      <c r="G33" s="30"/>
      <c r="H33" s="30"/>
      <c r="I33" s="30"/>
      <c r="J33" s="30"/>
      <c r="K33" s="30"/>
    </row>
    <row r="34" spans="2:11" x14ac:dyDescent="0.3">
      <c r="B34" s="30"/>
      <c r="C34" s="30"/>
      <c r="D34" s="30"/>
      <c r="E34" s="30"/>
      <c r="F34" s="30"/>
      <c r="G34" s="30"/>
      <c r="H34" s="30"/>
      <c r="I34" s="30"/>
      <c r="J34" s="30"/>
      <c r="K34" s="30"/>
    </row>
    <row r="35" spans="2:11" x14ac:dyDescent="0.3">
      <c r="B35" s="30"/>
      <c r="C35" s="30"/>
      <c r="D35" s="30"/>
      <c r="E35" s="30"/>
      <c r="F35" s="30"/>
      <c r="G35" s="30"/>
      <c r="H35" s="30"/>
      <c r="I35" s="30"/>
      <c r="J35" s="30"/>
      <c r="K35" s="30"/>
    </row>
    <row r="36" spans="2:11" x14ac:dyDescent="0.3">
      <c r="B36" s="30"/>
      <c r="C36" s="30"/>
      <c r="D36" s="30"/>
      <c r="E36" s="30"/>
      <c r="F36" s="30"/>
      <c r="G36" s="30"/>
      <c r="H36" s="30"/>
      <c r="I36" s="30"/>
      <c r="J36" s="30"/>
      <c r="K36" s="30"/>
    </row>
    <row r="37" spans="2:11" x14ac:dyDescent="0.3">
      <c r="B37" s="30"/>
      <c r="C37" s="30"/>
      <c r="D37" s="30"/>
      <c r="E37" s="30"/>
      <c r="F37" s="30"/>
      <c r="G37" s="30"/>
      <c r="H37" s="30"/>
      <c r="I37" s="30"/>
      <c r="J37" s="30"/>
      <c r="K37" s="30"/>
    </row>
    <row r="38" spans="2:11" x14ac:dyDescent="0.3">
      <c r="B38" s="30"/>
      <c r="C38" s="30"/>
      <c r="D38" s="30"/>
      <c r="E38" s="30"/>
      <c r="F38" s="30"/>
      <c r="G38" s="30"/>
      <c r="H38" s="30"/>
      <c r="I38" s="30"/>
      <c r="J38" s="30"/>
      <c r="K38" s="30"/>
    </row>
    <row r="39" spans="2:11" x14ac:dyDescent="0.3">
      <c r="B39" s="30"/>
      <c r="C39" s="30"/>
      <c r="D39" s="30"/>
      <c r="E39" s="30"/>
      <c r="F39" s="30"/>
      <c r="G39" s="30"/>
      <c r="H39" s="30"/>
      <c r="I39" s="30"/>
      <c r="J39" s="30"/>
      <c r="K39" s="30"/>
    </row>
    <row r="40" spans="2:11" x14ac:dyDescent="0.3">
      <c r="B40" s="30"/>
      <c r="C40" s="30"/>
      <c r="D40" s="30"/>
      <c r="E40" s="30"/>
      <c r="F40" s="30"/>
      <c r="G40" s="30"/>
      <c r="H40" s="30"/>
      <c r="I40" s="30"/>
      <c r="J40" s="30"/>
      <c r="K40" s="30"/>
    </row>
    <row r="41" spans="2:11" x14ac:dyDescent="0.3">
      <c r="B41" s="30"/>
      <c r="C41" s="30"/>
      <c r="D41" s="30"/>
      <c r="E41" s="30"/>
      <c r="F41" s="30"/>
      <c r="G41" s="30"/>
      <c r="H41" s="30"/>
      <c r="I41" s="30"/>
      <c r="J41" s="30"/>
      <c r="K41" s="30"/>
    </row>
    <row r="42" spans="2:11" x14ac:dyDescent="0.3">
      <c r="B42" s="30"/>
      <c r="C42" s="30"/>
      <c r="D42" s="30"/>
      <c r="E42" s="30"/>
      <c r="F42" s="30"/>
      <c r="G42" s="30"/>
      <c r="H42" s="30"/>
      <c r="I42" s="30"/>
      <c r="J42" s="30"/>
      <c r="K42" s="30"/>
    </row>
    <row r="43" spans="2:11" x14ac:dyDescent="0.3">
      <c r="B43" s="30"/>
      <c r="C43" s="30"/>
      <c r="D43" s="30"/>
      <c r="E43" s="30"/>
      <c r="F43" s="30"/>
      <c r="G43" s="30"/>
      <c r="H43" s="30"/>
      <c r="I43" s="30"/>
      <c r="J43" s="30"/>
      <c r="K43" s="30"/>
    </row>
    <row r="44" spans="2:11" x14ac:dyDescent="0.3">
      <c r="B44" s="30"/>
      <c r="C44" s="30"/>
      <c r="D44" s="30"/>
      <c r="E44" s="30"/>
      <c r="F44" s="30"/>
      <c r="G44" s="30"/>
      <c r="H44" s="30"/>
      <c r="I44" s="30"/>
      <c r="J44" s="30"/>
      <c r="K44" s="30"/>
    </row>
    <row r="45" spans="2:11" x14ac:dyDescent="0.3">
      <c r="B45" s="30"/>
      <c r="C45" s="30"/>
      <c r="D45" s="30"/>
      <c r="E45" s="30"/>
      <c r="F45" s="30"/>
      <c r="G45" s="30"/>
      <c r="H45" s="30"/>
      <c r="I45" s="30"/>
      <c r="J45" s="30"/>
      <c r="K45" s="30"/>
    </row>
    <row r="46" spans="2:11" x14ac:dyDescent="0.3">
      <c r="B46" s="30"/>
      <c r="C46" s="30"/>
      <c r="D46" s="30"/>
      <c r="E46" s="30"/>
      <c r="F46" s="30"/>
      <c r="G46" s="30"/>
      <c r="H46" s="30"/>
      <c r="I46" s="30"/>
      <c r="J46" s="30"/>
      <c r="K46" s="30"/>
    </row>
    <row r="47" spans="2:11" x14ac:dyDescent="0.3">
      <c r="B47" s="30"/>
      <c r="C47" s="30"/>
      <c r="D47" s="30"/>
      <c r="E47" s="30"/>
      <c r="F47" s="30"/>
      <c r="G47" s="30"/>
      <c r="H47" s="30"/>
      <c r="I47" s="30"/>
      <c r="J47" s="30"/>
      <c r="K47" s="30"/>
    </row>
    <row r="48" spans="2:11" x14ac:dyDescent="0.3">
      <c r="B48" s="30"/>
      <c r="C48" s="30"/>
      <c r="D48" s="30"/>
      <c r="E48" s="30"/>
      <c r="F48" s="30"/>
      <c r="G48" s="30"/>
      <c r="H48" s="30"/>
      <c r="I48" s="30"/>
      <c r="J48" s="30"/>
      <c r="K48" s="30"/>
    </row>
    <row r="49" spans="2:11" x14ac:dyDescent="0.3">
      <c r="B49" s="30"/>
      <c r="C49" s="30"/>
      <c r="D49" s="30"/>
      <c r="E49" s="30"/>
      <c r="F49" s="30"/>
      <c r="G49" s="30"/>
      <c r="H49" s="30"/>
      <c r="I49" s="30"/>
      <c r="J49" s="30"/>
      <c r="K49" s="30"/>
    </row>
    <row r="50" spans="2:11" x14ac:dyDescent="0.3">
      <c r="B50" s="30"/>
      <c r="C50" s="30"/>
      <c r="D50" s="30"/>
      <c r="E50" s="30"/>
      <c r="F50" s="30"/>
      <c r="G50" s="30"/>
      <c r="H50" s="30"/>
      <c r="I50" s="30"/>
      <c r="J50" s="30"/>
      <c r="K50" s="30"/>
    </row>
    <row r="51" spans="2:11" x14ac:dyDescent="0.3">
      <c r="B51" s="30"/>
      <c r="C51" s="30"/>
      <c r="D51" s="30"/>
      <c r="E51" s="30"/>
      <c r="F51" s="30"/>
      <c r="G51" s="30"/>
      <c r="H51" s="30"/>
      <c r="I51" s="30"/>
      <c r="J51" s="30"/>
      <c r="K51" s="30"/>
    </row>
    <row r="52" spans="2:11" x14ac:dyDescent="0.3">
      <c r="B52" s="30"/>
      <c r="C52" s="30"/>
      <c r="D52" s="30"/>
      <c r="E52" s="30"/>
      <c r="F52" s="30"/>
      <c r="G52" s="30"/>
      <c r="H52" s="30"/>
      <c r="I52" s="30"/>
      <c r="J52" s="30"/>
      <c r="K52" s="30"/>
    </row>
    <row r="53" spans="2:11" x14ac:dyDescent="0.3">
      <c r="B53" s="30"/>
      <c r="C53" s="30"/>
      <c r="D53" s="30"/>
      <c r="E53" s="30"/>
      <c r="F53" s="30"/>
      <c r="G53" s="30"/>
      <c r="H53" s="30"/>
      <c r="I53" s="30"/>
      <c r="J53" s="30"/>
      <c r="K53" s="30"/>
    </row>
    <row r="54" spans="2:11" x14ac:dyDescent="0.3">
      <c r="B54" s="30"/>
      <c r="C54" s="30"/>
      <c r="D54" s="30"/>
      <c r="E54" s="30"/>
      <c r="F54" s="30"/>
      <c r="G54" s="30"/>
      <c r="H54" s="30"/>
      <c r="I54" s="30"/>
      <c r="J54" s="30"/>
      <c r="K54" s="30"/>
    </row>
    <row r="55" spans="2:11" x14ac:dyDescent="0.3">
      <c r="B55" s="30"/>
      <c r="C55" s="30"/>
      <c r="D55" s="30"/>
      <c r="E55" s="30"/>
      <c r="F55" s="30"/>
      <c r="G55" s="30"/>
      <c r="H55" s="30"/>
      <c r="I55" s="30"/>
      <c r="J55" s="30"/>
      <c r="K55" s="30"/>
    </row>
    <row r="56" spans="2:11" x14ac:dyDescent="0.3">
      <c r="B56" s="30"/>
      <c r="C56" s="30"/>
      <c r="D56" s="30"/>
      <c r="E56" s="30"/>
      <c r="F56" s="30"/>
      <c r="G56" s="30"/>
      <c r="H56" s="30"/>
      <c r="I56" s="30"/>
      <c r="J56" s="30"/>
      <c r="K56" s="30"/>
    </row>
    <row r="57" spans="2:11" x14ac:dyDescent="0.3">
      <c r="B57" s="30"/>
      <c r="C57" s="30"/>
      <c r="D57" s="30"/>
      <c r="E57" s="30"/>
      <c r="F57" s="30"/>
      <c r="G57" s="30"/>
      <c r="H57" s="30"/>
      <c r="I57" s="30"/>
      <c r="J57" s="30"/>
      <c r="K57" s="30"/>
    </row>
    <row r="58" spans="2:11" x14ac:dyDescent="0.3">
      <c r="B58" s="30"/>
      <c r="C58" s="30"/>
      <c r="D58" s="30"/>
      <c r="E58" s="30"/>
      <c r="F58" s="30"/>
      <c r="G58" s="30"/>
      <c r="H58" s="30"/>
      <c r="I58" s="30"/>
      <c r="J58" s="30"/>
      <c r="K58" s="30"/>
    </row>
    <row r="59" spans="2:11" x14ac:dyDescent="0.3">
      <c r="B59" s="30"/>
      <c r="C59" s="30"/>
      <c r="D59" s="30"/>
      <c r="E59" s="30"/>
      <c r="F59" s="30"/>
      <c r="G59" s="30"/>
      <c r="H59" s="30"/>
      <c r="I59" s="30"/>
      <c r="J59" s="30"/>
      <c r="K59" s="30"/>
    </row>
    <row r="60" spans="2:11" x14ac:dyDescent="0.3">
      <c r="B60" s="30"/>
      <c r="C60" s="30"/>
      <c r="D60" s="30"/>
      <c r="E60" s="30"/>
      <c r="F60" s="30"/>
      <c r="G60" s="30"/>
      <c r="H60" s="30"/>
      <c r="I60" s="30"/>
      <c r="J60" s="30"/>
      <c r="K60" s="30"/>
    </row>
    <row r="61" spans="2:11" x14ac:dyDescent="0.3">
      <c r="B61" s="30"/>
      <c r="C61" s="30"/>
      <c r="D61" s="30"/>
      <c r="E61" s="30"/>
      <c r="F61" s="30"/>
      <c r="G61" s="30"/>
      <c r="H61" s="30"/>
      <c r="I61" s="30"/>
      <c r="J61" s="30"/>
      <c r="K61" s="30"/>
    </row>
    <row r="62" spans="2:11" x14ac:dyDescent="0.3">
      <c r="B62" s="30"/>
      <c r="C62" s="30"/>
      <c r="D62" s="30"/>
      <c r="E62" s="30"/>
      <c r="F62" s="30"/>
      <c r="G62" s="30"/>
      <c r="H62" s="30"/>
      <c r="I62" s="30"/>
      <c r="J62" s="30"/>
      <c r="K62" s="30"/>
    </row>
    <row r="63" spans="2:11" x14ac:dyDescent="0.3">
      <c r="B63" s="30"/>
      <c r="C63" s="30"/>
      <c r="D63" s="30"/>
      <c r="E63" s="30"/>
      <c r="F63" s="30"/>
      <c r="G63" s="30"/>
      <c r="H63" s="30"/>
      <c r="I63" s="30"/>
      <c r="J63" s="30"/>
      <c r="K63" s="30"/>
    </row>
    <row r="64" spans="2:11" x14ac:dyDescent="0.3">
      <c r="B64" s="30"/>
      <c r="C64" s="30"/>
      <c r="D64" s="30"/>
      <c r="E64" s="30"/>
      <c r="F64" s="30"/>
      <c r="G64" s="30"/>
      <c r="H64" s="30"/>
      <c r="I64" s="30"/>
      <c r="J64" s="30"/>
      <c r="K64" s="30"/>
    </row>
    <row r="65" spans="2:11" x14ac:dyDescent="0.3">
      <c r="B65" s="30"/>
      <c r="C65" s="30"/>
      <c r="D65" s="30"/>
      <c r="E65" s="30"/>
      <c r="F65" s="30"/>
      <c r="G65" s="30"/>
      <c r="H65" s="30"/>
      <c r="I65" s="30"/>
      <c r="J65" s="30"/>
      <c r="K65" s="30"/>
    </row>
    <row r="66" spans="2:11" x14ac:dyDescent="0.3">
      <c r="B66" s="30"/>
      <c r="C66" s="30"/>
      <c r="D66" s="30"/>
      <c r="E66" s="30"/>
      <c r="F66" s="30"/>
      <c r="G66" s="30"/>
      <c r="H66" s="30"/>
      <c r="I66" s="30"/>
      <c r="J66" s="30"/>
      <c r="K66" s="30"/>
    </row>
    <row r="67" spans="2:11" x14ac:dyDescent="0.3">
      <c r="B67" s="30"/>
      <c r="C67" s="30"/>
      <c r="D67" s="30"/>
      <c r="E67" s="30"/>
      <c r="F67" s="30"/>
      <c r="G67" s="30"/>
      <c r="H67" s="30"/>
      <c r="I67" s="30"/>
      <c r="J67" s="30"/>
      <c r="K67" s="30"/>
    </row>
    <row r="68" spans="2:11" x14ac:dyDescent="0.3">
      <c r="B68" s="30"/>
      <c r="C68" s="30"/>
      <c r="D68" s="30"/>
      <c r="E68" s="30"/>
      <c r="F68" s="30"/>
      <c r="G68" s="30"/>
      <c r="H68" s="30"/>
      <c r="I68" s="30"/>
      <c r="J68" s="30"/>
      <c r="K68" s="30"/>
    </row>
    <row r="69" spans="2:11" x14ac:dyDescent="0.3">
      <c r="B69" s="30"/>
      <c r="C69" s="30"/>
      <c r="D69" s="30"/>
      <c r="E69" s="30"/>
      <c r="F69" s="30"/>
      <c r="G69" s="30"/>
      <c r="H69" s="30"/>
      <c r="I69" s="30"/>
      <c r="J69" s="30"/>
      <c r="K69" s="30"/>
    </row>
    <row r="70" spans="2:11" x14ac:dyDescent="0.3">
      <c r="B70" s="30"/>
      <c r="C70" s="30"/>
      <c r="D70" s="30"/>
      <c r="E70" s="30"/>
      <c r="F70" s="30"/>
      <c r="G70" s="30"/>
      <c r="H70" s="30"/>
      <c r="I70" s="30"/>
      <c r="J70" s="30"/>
      <c r="K70" s="30"/>
    </row>
    <row r="71" spans="2:11" x14ac:dyDescent="0.3">
      <c r="B71" s="30"/>
      <c r="C71" s="30"/>
      <c r="D71" s="30"/>
      <c r="E71" s="30"/>
      <c r="F71" s="30"/>
      <c r="G71" s="30"/>
      <c r="H71" s="30"/>
      <c r="I71" s="30"/>
      <c r="J71" s="30"/>
      <c r="K71" s="30"/>
    </row>
    <row r="72" spans="2:11" x14ac:dyDescent="0.3">
      <c r="B72" s="30"/>
      <c r="C72" s="30"/>
      <c r="D72" s="30"/>
      <c r="E72" s="30"/>
      <c r="F72" s="30"/>
      <c r="G72" s="30"/>
      <c r="H72" s="30"/>
      <c r="I72" s="30"/>
      <c r="J72" s="30"/>
      <c r="K72" s="30"/>
    </row>
    <row r="73" spans="2:11" x14ac:dyDescent="0.3">
      <c r="B73" s="30"/>
      <c r="C73" s="30"/>
      <c r="D73" s="30"/>
      <c r="E73" s="30"/>
      <c r="F73" s="30"/>
      <c r="G73" s="30"/>
      <c r="H73" s="30"/>
      <c r="I73" s="30"/>
      <c r="J73" s="30"/>
      <c r="K73" s="30"/>
    </row>
    <row r="74" spans="2:11" x14ac:dyDescent="0.3">
      <c r="B74" s="30"/>
      <c r="C74" s="30"/>
      <c r="D74" s="30"/>
      <c r="E74" s="30"/>
      <c r="F74" s="30"/>
      <c r="G74" s="30"/>
      <c r="H74" s="30"/>
      <c r="I74" s="30"/>
      <c r="J74" s="30"/>
      <c r="K74" s="30"/>
    </row>
    <row r="75" spans="2:11" x14ac:dyDescent="0.3">
      <c r="B75" s="30"/>
      <c r="C75" s="30"/>
      <c r="D75" s="30"/>
      <c r="E75" s="30"/>
      <c r="F75" s="30"/>
      <c r="G75" s="30"/>
      <c r="H75" s="30"/>
      <c r="I75" s="30"/>
      <c r="J75" s="30"/>
      <c r="K75" s="30"/>
    </row>
    <row r="76" spans="2:11" x14ac:dyDescent="0.3">
      <c r="B76" s="30"/>
      <c r="C76" s="30"/>
      <c r="D76" s="30"/>
      <c r="E76" s="30"/>
      <c r="F76" s="30"/>
      <c r="G76" s="30"/>
      <c r="H76" s="30"/>
      <c r="I76" s="30"/>
      <c r="J76" s="30"/>
      <c r="K76" s="30"/>
    </row>
    <row r="77" spans="2:11" x14ac:dyDescent="0.3">
      <c r="B77" s="30"/>
      <c r="C77" s="30"/>
      <c r="D77" s="30"/>
      <c r="E77" s="30"/>
      <c r="F77" s="30"/>
      <c r="G77" s="30"/>
      <c r="H77" s="30"/>
      <c r="I77" s="30"/>
      <c r="J77" s="30"/>
      <c r="K77" s="30"/>
    </row>
    <row r="78" spans="2:11" x14ac:dyDescent="0.3">
      <c r="B78" s="30"/>
      <c r="C78" s="30"/>
      <c r="D78" s="30"/>
      <c r="E78" s="30"/>
      <c r="F78" s="30"/>
      <c r="G78" s="30"/>
      <c r="H78" s="30"/>
      <c r="I78" s="30"/>
      <c r="J78" s="30"/>
      <c r="K78" s="30"/>
    </row>
    <row r="79" spans="2:11" x14ac:dyDescent="0.3">
      <c r="B79" s="30"/>
      <c r="C79" s="30"/>
      <c r="D79" s="30"/>
      <c r="E79" s="30"/>
      <c r="F79" s="30"/>
      <c r="G79" s="30"/>
      <c r="H79" s="30"/>
      <c r="I79" s="30"/>
      <c r="J79" s="30"/>
      <c r="K79" s="30"/>
    </row>
    <row r="80" spans="2:11" x14ac:dyDescent="0.3">
      <c r="B80" s="30"/>
      <c r="C80" s="30"/>
      <c r="D80" s="30"/>
      <c r="E80" s="30"/>
      <c r="F80" s="30"/>
      <c r="G80" s="30"/>
      <c r="H80" s="30"/>
      <c r="I80" s="30"/>
      <c r="J80" s="30"/>
      <c r="K80" s="30"/>
    </row>
    <row r="81" spans="2:11" x14ac:dyDescent="0.3">
      <c r="B81" s="30"/>
      <c r="C81" s="30"/>
      <c r="D81" s="30"/>
      <c r="E81" s="30"/>
      <c r="F81" s="30"/>
      <c r="G81" s="30"/>
      <c r="H81" s="30"/>
      <c r="I81" s="30"/>
      <c r="J81" s="30"/>
      <c r="K81" s="30"/>
    </row>
    <row r="82" spans="2:11" x14ac:dyDescent="0.3">
      <c r="B82" s="30"/>
      <c r="C82" s="30"/>
      <c r="D82" s="30"/>
      <c r="E82" s="30"/>
      <c r="F82" s="30"/>
      <c r="G82" s="30"/>
      <c r="H82" s="30"/>
      <c r="I82" s="30"/>
      <c r="J82" s="30"/>
      <c r="K82" s="30"/>
    </row>
    <row r="83" spans="2:11" x14ac:dyDescent="0.3">
      <c r="B83" s="30"/>
      <c r="C83" s="30"/>
      <c r="D83" s="30"/>
      <c r="E83" s="30"/>
      <c r="F83" s="30"/>
      <c r="G83" s="30"/>
      <c r="H83" s="30"/>
      <c r="I83" s="30"/>
      <c r="J83" s="30"/>
      <c r="K83" s="30"/>
    </row>
    <row r="84" spans="2:11" x14ac:dyDescent="0.3">
      <c r="B84" s="30"/>
      <c r="C84" s="30"/>
      <c r="D84" s="30"/>
      <c r="E84" s="30"/>
      <c r="F84" s="30"/>
      <c r="G84" s="30"/>
      <c r="H84" s="30"/>
      <c r="I84" s="30"/>
      <c r="J84" s="30"/>
      <c r="K84" s="30"/>
    </row>
    <row r="85" spans="2:11" x14ac:dyDescent="0.3">
      <c r="B85" s="30"/>
      <c r="C85" s="30"/>
      <c r="D85" s="30"/>
      <c r="E85" s="30"/>
      <c r="F85" s="30"/>
      <c r="G85" s="30"/>
      <c r="H85" s="30"/>
      <c r="I85" s="30"/>
      <c r="J85" s="30"/>
      <c r="K85" s="30"/>
    </row>
    <row r="86" spans="2:11" x14ac:dyDescent="0.3">
      <c r="B86" s="30"/>
      <c r="C86" s="30"/>
      <c r="D86" s="30"/>
      <c r="E86" s="30"/>
      <c r="F86" s="30"/>
      <c r="G86" s="30"/>
      <c r="H86" s="30"/>
      <c r="I86" s="30"/>
      <c r="J86" s="30"/>
      <c r="K86" s="30"/>
    </row>
    <row r="87" spans="2:11" x14ac:dyDescent="0.3">
      <c r="B87" s="30"/>
      <c r="C87" s="30"/>
      <c r="D87" s="30"/>
      <c r="E87" s="30"/>
      <c r="F87" s="30"/>
      <c r="G87" s="30"/>
      <c r="H87" s="30"/>
      <c r="I87" s="30"/>
      <c r="J87" s="30"/>
      <c r="K87" s="30"/>
    </row>
    <row r="88" spans="2:11" x14ac:dyDescent="0.3">
      <c r="B88" s="30"/>
      <c r="C88" s="30"/>
      <c r="D88" s="30"/>
      <c r="E88" s="30"/>
      <c r="F88" s="30"/>
      <c r="G88" s="30"/>
      <c r="H88" s="30"/>
      <c r="I88" s="30"/>
      <c r="J88" s="30"/>
      <c r="K88" s="30"/>
    </row>
    <row r="89" spans="2:11" x14ac:dyDescent="0.3">
      <c r="B89" s="30"/>
      <c r="C89" s="30"/>
      <c r="D89" s="30"/>
      <c r="E89" s="30"/>
      <c r="F89" s="30"/>
      <c r="G89" s="30"/>
      <c r="H89" s="30"/>
      <c r="I89" s="30"/>
      <c r="J89" s="30"/>
      <c r="K89" s="30"/>
    </row>
    <row r="90" spans="2:11" x14ac:dyDescent="0.3">
      <c r="B90" s="30"/>
      <c r="C90" s="30"/>
      <c r="D90" s="30"/>
      <c r="E90" s="30"/>
      <c r="F90" s="30"/>
      <c r="G90" s="30"/>
      <c r="H90" s="30"/>
      <c r="I90" s="30"/>
      <c r="J90" s="30"/>
      <c r="K90" s="30"/>
    </row>
    <row r="91" spans="2:11" x14ac:dyDescent="0.3">
      <c r="B91" s="30"/>
      <c r="C91" s="30"/>
      <c r="D91" s="30"/>
      <c r="E91" s="30"/>
      <c r="F91" s="30"/>
      <c r="G91" s="30"/>
      <c r="H91" s="30"/>
      <c r="I91" s="30"/>
      <c r="J91" s="30"/>
      <c r="K91" s="30"/>
    </row>
    <row r="92" spans="2:11" x14ac:dyDescent="0.3">
      <c r="B92" s="30"/>
      <c r="C92" s="30"/>
      <c r="D92" s="30"/>
      <c r="E92" s="30"/>
      <c r="F92" s="30"/>
      <c r="G92" s="30"/>
      <c r="H92" s="30"/>
      <c r="I92" s="30"/>
      <c r="J92" s="30"/>
      <c r="K92" s="30"/>
    </row>
    <row r="93" spans="2:11" x14ac:dyDescent="0.3">
      <c r="B93" s="30"/>
      <c r="C93" s="30"/>
      <c r="D93" s="30"/>
      <c r="E93" s="30"/>
      <c r="F93" s="30"/>
      <c r="G93" s="30"/>
      <c r="H93" s="30"/>
      <c r="I93" s="30"/>
      <c r="J93" s="30"/>
      <c r="K93" s="30"/>
    </row>
    <row r="94" spans="2:11" x14ac:dyDescent="0.3">
      <c r="B94" s="30"/>
      <c r="C94" s="30"/>
      <c r="D94" s="30"/>
      <c r="E94" s="30"/>
      <c r="F94" s="30"/>
      <c r="G94" s="30"/>
      <c r="H94" s="30"/>
      <c r="I94" s="30"/>
      <c r="J94" s="30"/>
      <c r="K94" s="30"/>
    </row>
    <row r="95" spans="2:11" x14ac:dyDescent="0.3">
      <c r="B95" s="30"/>
      <c r="C95" s="30"/>
      <c r="D95" s="30"/>
      <c r="E95" s="30"/>
      <c r="F95" s="30"/>
      <c r="G95" s="30"/>
      <c r="H95" s="30"/>
      <c r="I95" s="30"/>
      <c r="J95" s="30"/>
      <c r="K95" s="30"/>
    </row>
    <row r="96" spans="2:11" x14ac:dyDescent="0.3">
      <c r="B96" s="30"/>
      <c r="C96" s="30"/>
      <c r="D96" s="30"/>
      <c r="E96" s="30"/>
      <c r="F96" s="30"/>
      <c r="G96" s="30"/>
      <c r="H96" s="30"/>
      <c r="I96" s="30"/>
      <c r="J96" s="30"/>
      <c r="K96" s="30"/>
    </row>
    <row r="97" spans="2:11" x14ac:dyDescent="0.3">
      <c r="B97" s="30"/>
      <c r="C97" s="30"/>
      <c r="D97" s="30"/>
      <c r="E97" s="30"/>
      <c r="F97" s="30"/>
      <c r="G97" s="30"/>
      <c r="H97" s="30"/>
      <c r="I97" s="30"/>
      <c r="J97" s="30"/>
      <c r="K97" s="30"/>
    </row>
    <row r="98" spans="2:11" x14ac:dyDescent="0.3">
      <c r="B98" s="30"/>
      <c r="C98" s="30"/>
      <c r="D98" s="30"/>
      <c r="E98" s="30"/>
      <c r="F98" s="30"/>
      <c r="G98" s="30"/>
      <c r="H98" s="30"/>
      <c r="I98" s="30"/>
      <c r="J98" s="30"/>
      <c r="K98" s="30"/>
    </row>
    <row r="99" spans="2:11" x14ac:dyDescent="0.3">
      <c r="B99" s="30"/>
      <c r="C99" s="30"/>
      <c r="D99" s="30"/>
      <c r="E99" s="30"/>
      <c r="F99" s="30"/>
      <c r="G99" s="30"/>
      <c r="H99" s="30"/>
      <c r="I99" s="30"/>
      <c r="J99" s="30"/>
      <c r="K99" s="30"/>
    </row>
    <row r="100" spans="2:11" x14ac:dyDescent="0.3">
      <c r="B100" s="30"/>
      <c r="C100" s="30"/>
      <c r="D100" s="30"/>
      <c r="E100" s="30"/>
      <c r="F100" s="30"/>
      <c r="G100" s="30"/>
      <c r="H100" s="30"/>
      <c r="I100" s="30"/>
      <c r="J100" s="30"/>
      <c r="K100" s="30"/>
    </row>
    <row r="101" spans="2:11" x14ac:dyDescent="0.3">
      <c r="B101" s="30"/>
      <c r="C101" s="30"/>
      <c r="D101" s="30"/>
      <c r="E101" s="30"/>
      <c r="F101" s="30"/>
      <c r="G101" s="30"/>
      <c r="H101" s="30"/>
      <c r="I101" s="30"/>
      <c r="J101" s="30"/>
      <c r="K101" s="30"/>
    </row>
    <row r="102" spans="2:11" x14ac:dyDescent="0.3">
      <c r="B102" s="30"/>
      <c r="C102" s="30"/>
      <c r="D102" s="30"/>
      <c r="E102" s="30"/>
      <c r="F102" s="30"/>
      <c r="G102" s="30"/>
      <c r="H102" s="30"/>
      <c r="I102" s="30"/>
      <c r="J102" s="30"/>
      <c r="K102" s="30"/>
    </row>
    <row r="103" spans="2:11" x14ac:dyDescent="0.3">
      <c r="B103" s="30"/>
      <c r="C103" s="30"/>
      <c r="D103" s="30"/>
      <c r="E103" s="30"/>
      <c r="F103" s="30"/>
      <c r="G103" s="30"/>
      <c r="H103" s="30"/>
      <c r="I103" s="30"/>
      <c r="J103" s="30"/>
      <c r="K103" s="30"/>
    </row>
    <row r="104" spans="2:11" x14ac:dyDescent="0.3">
      <c r="B104" s="30"/>
      <c r="C104" s="30"/>
      <c r="D104" s="30"/>
      <c r="E104" s="30"/>
      <c r="F104" s="30"/>
      <c r="G104" s="30"/>
      <c r="H104" s="30"/>
      <c r="I104" s="30"/>
      <c r="J104" s="30"/>
      <c r="K104" s="30"/>
    </row>
    <row r="105" spans="2:11" x14ac:dyDescent="0.3">
      <c r="B105" s="30"/>
      <c r="C105" s="30"/>
      <c r="D105" s="30"/>
      <c r="E105" s="30"/>
      <c r="F105" s="30"/>
      <c r="G105" s="30"/>
      <c r="H105" s="30"/>
      <c r="I105" s="30"/>
      <c r="J105" s="30"/>
      <c r="K105" s="30"/>
    </row>
    <row r="106" spans="2:11" x14ac:dyDescent="0.3">
      <c r="B106" s="30"/>
      <c r="C106" s="30"/>
      <c r="D106" s="30"/>
      <c r="E106" s="30"/>
      <c r="F106" s="30"/>
      <c r="G106" s="30"/>
      <c r="H106" s="30"/>
      <c r="I106" s="30"/>
      <c r="J106" s="30"/>
      <c r="K106" s="30"/>
    </row>
    <row r="107" spans="2:11" x14ac:dyDescent="0.3">
      <c r="B107" s="30"/>
      <c r="C107" s="30"/>
      <c r="D107" s="30"/>
      <c r="E107" s="30"/>
      <c r="F107" s="30"/>
      <c r="G107" s="30"/>
      <c r="H107" s="30"/>
      <c r="I107" s="30"/>
      <c r="J107" s="30"/>
      <c r="K107" s="30"/>
    </row>
    <row r="108" spans="2:11" x14ac:dyDescent="0.3">
      <c r="B108" s="30"/>
      <c r="C108" s="30"/>
      <c r="D108" s="30"/>
      <c r="E108" s="30"/>
      <c r="F108" s="30"/>
      <c r="G108" s="30"/>
      <c r="H108" s="30"/>
      <c r="I108" s="30"/>
      <c r="J108" s="30"/>
      <c r="K108" s="30"/>
    </row>
    <row r="109" spans="2:11" x14ac:dyDescent="0.3">
      <c r="B109" s="30"/>
      <c r="C109" s="30"/>
      <c r="D109" s="30"/>
      <c r="E109" s="30"/>
      <c r="F109" s="30"/>
      <c r="G109" s="30"/>
      <c r="H109" s="30"/>
      <c r="I109" s="30"/>
      <c r="J109" s="30"/>
      <c r="K109" s="30"/>
    </row>
    <row r="110" spans="2:11" x14ac:dyDescent="0.3">
      <c r="B110" s="30"/>
      <c r="C110" s="30"/>
      <c r="D110" s="30"/>
      <c r="E110" s="30"/>
      <c r="F110" s="30"/>
      <c r="G110" s="30"/>
      <c r="H110" s="30"/>
      <c r="I110" s="30"/>
      <c r="J110" s="30"/>
      <c r="K110" s="30"/>
    </row>
    <row r="111" spans="2:11" x14ac:dyDescent="0.3">
      <c r="B111" s="30"/>
      <c r="C111" s="30"/>
      <c r="D111" s="30"/>
      <c r="E111" s="30"/>
      <c r="F111" s="30"/>
      <c r="G111" s="30"/>
      <c r="H111" s="30"/>
      <c r="I111" s="30"/>
      <c r="J111" s="30"/>
      <c r="K111" s="30"/>
    </row>
    <row r="112" spans="2:11" x14ac:dyDescent="0.3">
      <c r="B112" s="30"/>
      <c r="C112" s="30"/>
      <c r="D112" s="30"/>
      <c r="E112" s="30"/>
      <c r="F112" s="30"/>
      <c r="G112" s="30"/>
      <c r="H112" s="30"/>
      <c r="I112" s="30"/>
      <c r="J112" s="30"/>
      <c r="K112" s="30"/>
    </row>
    <row r="113" spans="2:11" x14ac:dyDescent="0.3">
      <c r="B113" s="30"/>
      <c r="C113" s="30"/>
      <c r="D113" s="30"/>
      <c r="E113" s="30"/>
      <c r="F113" s="30"/>
      <c r="G113" s="30"/>
      <c r="H113" s="30"/>
      <c r="I113" s="30"/>
      <c r="J113" s="30"/>
      <c r="K113" s="30"/>
    </row>
    <row r="114" spans="2:11" x14ac:dyDescent="0.3">
      <c r="B114" s="30"/>
      <c r="C114" s="30"/>
      <c r="D114" s="30"/>
      <c r="E114" s="30"/>
      <c r="F114" s="30"/>
      <c r="G114" s="30"/>
      <c r="H114" s="30"/>
      <c r="I114" s="30"/>
      <c r="J114" s="30"/>
      <c r="K114" s="30"/>
    </row>
    <row r="115" spans="2:11" x14ac:dyDescent="0.3">
      <c r="B115" s="30"/>
      <c r="C115" s="30"/>
      <c r="D115" s="30"/>
      <c r="E115" s="30"/>
      <c r="F115" s="30"/>
      <c r="G115" s="30"/>
      <c r="H115" s="30"/>
      <c r="I115" s="30"/>
      <c r="J115" s="30"/>
      <c r="K115" s="30"/>
    </row>
    <row r="116" spans="2:11" x14ac:dyDescent="0.3">
      <c r="B116" s="30"/>
      <c r="C116" s="30"/>
      <c r="D116" s="30"/>
      <c r="E116" s="30"/>
      <c r="F116" s="30"/>
      <c r="G116" s="30"/>
      <c r="H116" s="30"/>
      <c r="I116" s="30"/>
      <c r="J116" s="30"/>
      <c r="K116" s="30"/>
    </row>
    <row r="117" spans="2:11" x14ac:dyDescent="0.3">
      <c r="B117" s="30"/>
      <c r="C117" s="30"/>
      <c r="D117" s="30"/>
      <c r="E117" s="30"/>
      <c r="F117" s="30"/>
      <c r="G117" s="30"/>
      <c r="H117" s="30"/>
      <c r="I117" s="30"/>
      <c r="J117" s="30"/>
      <c r="K117" s="30"/>
    </row>
  </sheetData>
  <sheetProtection algorithmName="SHA-512" hashValue="r46GwT5hyk8lJ1qICuQyggjkncXnpbcXaopR0+zNDG/E2dAsmAQ+hhwDYQ3Pz12X8F1Oo6L1x41bJ9l7/3C1rg==" saltValue="Z05lSgWPCuOuPM+TD17EkQ==" spinCount="100000" sheet="1" objects="1" scenarios="1"/>
  <mergeCells count="3">
    <mergeCell ref="B6:E6"/>
    <mergeCell ref="B19:K20"/>
    <mergeCell ref="B22:K23"/>
  </mergeCells>
  <hyperlinks>
    <hyperlink ref="E17" r:id="rId1" display="oriane.braconnier@icedd.be" xr:uid="{7DEAB409-04F2-408E-B4FC-6B7B3C18D8D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BABB-0266-47A0-94EC-B25711A317F8}">
  <sheetPr>
    <tabColor theme="0" tint="-0.14999847407452621"/>
  </sheetPr>
  <dimension ref="A1:O37"/>
  <sheetViews>
    <sheetView topLeftCell="A7" workbookViewId="0">
      <selection activeCell="K34" sqref="K34"/>
    </sheetView>
  </sheetViews>
  <sheetFormatPr baseColWidth="10" defaultColWidth="11.44140625" defaultRowHeight="14.4" x14ac:dyDescent="0.3"/>
  <cols>
    <col min="1" max="1" width="16.44140625" bestFit="1" customWidth="1"/>
    <col min="2" max="2" width="3.88671875" customWidth="1"/>
    <col min="3" max="3" width="18.33203125" customWidth="1"/>
    <col min="4" max="4" width="4.33203125" customWidth="1"/>
    <col min="5" max="5" width="12.5546875" bestFit="1" customWidth="1"/>
    <col min="6" max="6" width="5.109375" customWidth="1"/>
    <col min="7" max="7" width="20.88671875" bestFit="1" customWidth="1"/>
    <col min="8" max="8" width="4.6640625" customWidth="1"/>
    <col min="9" max="9" width="25.44140625" bestFit="1" customWidth="1"/>
    <col min="10" max="10" width="6.88671875" customWidth="1"/>
    <col min="11" max="11" width="20.44140625" bestFit="1" customWidth="1"/>
    <col min="12" max="12" width="10.88671875" customWidth="1"/>
    <col min="13" max="13" width="16.44140625" bestFit="1" customWidth="1"/>
  </cols>
  <sheetData>
    <row r="1" spans="1:11" x14ac:dyDescent="0.3">
      <c r="A1" s="12" t="s">
        <v>6</v>
      </c>
      <c r="C1" s="11" t="s">
        <v>10</v>
      </c>
      <c r="E1" s="11" t="s">
        <v>17</v>
      </c>
      <c r="G1" s="11" t="s">
        <v>27</v>
      </c>
      <c r="I1" s="11" t="s">
        <v>21</v>
      </c>
      <c r="K1" s="11" t="s">
        <v>263</v>
      </c>
    </row>
    <row r="3" spans="1:11" x14ac:dyDescent="0.3">
      <c r="A3" s="13" t="s">
        <v>105</v>
      </c>
      <c r="C3" s="13" t="str">
        <f>A4</f>
        <v xml:space="preserve">Ferroviaire </v>
      </c>
      <c r="D3" s="1"/>
      <c r="E3" s="1" t="s">
        <v>8</v>
      </c>
      <c r="G3" s="13" t="str">
        <f>$C$3</f>
        <v xml:space="preserve">Ferroviaire </v>
      </c>
      <c r="I3" s="13" t="str">
        <f>$C$3</f>
        <v xml:space="preserve">Ferroviaire </v>
      </c>
      <c r="K3" s="20" t="s">
        <v>106</v>
      </c>
    </row>
    <row r="4" spans="1:11" x14ac:dyDescent="0.3">
      <c r="A4" s="15" t="str" cm="1">
        <f t="array" ref="A4:A6">_xlfn._xlws.SORT(_xlfn.UNIQUE(Tableau1[[mode de transport ]]))</f>
        <v xml:space="preserve">Ferroviaire </v>
      </c>
      <c r="C4" s="15" t="str" cm="1">
        <f t="array" ref="C4">_xlfn._xlws.SORT(_xlfn.UNIQUE(_xlfn._xlws.FILTER(Tableau1[Voie de transport],Tableau1[[mode de transport ]]=Liste!$C$3)))</f>
        <v xml:space="preserve">Chemin de fer </v>
      </c>
      <c r="E4" t="s">
        <v>54</v>
      </c>
      <c r="G4" s="15" t="str" cm="1">
        <f t="array" ref="G4:G6">_xlfn._xlws.SORT(_xlfn.UNIQUE(_xlfn._xlws.FILTER(Tableau1[[Densité de chargement ]],Tableau1[[mode de transport ]]=Liste!$C$3)))</f>
        <v>Léger</v>
      </c>
      <c r="I4" s="15" t="str" cm="1">
        <f t="array" ref="I4:I5">_xlfn._xlws.SORT(_xlfn.UNIQUE(_xlfn._xlws.FILTER(Tableau1[Type de véhicule],Tableau1[[mode de transport ]]=Liste!$I$3)))</f>
        <v xml:space="preserve">Traction diesel </v>
      </c>
      <c r="K4" t="s">
        <v>328</v>
      </c>
    </row>
    <row r="5" spans="1:11" x14ac:dyDescent="0.3">
      <c r="A5" s="16" t="str">
        <v>Fluvial</v>
      </c>
      <c r="E5" t="s">
        <v>15</v>
      </c>
      <c r="G5" s="16" t="str">
        <v>Lourd</v>
      </c>
      <c r="I5" s="16" t="str">
        <v>Traction électrique</v>
      </c>
      <c r="K5" t="s">
        <v>340</v>
      </c>
    </row>
    <row r="6" spans="1:11" x14ac:dyDescent="0.3">
      <c r="A6" s="15" t="str">
        <v xml:space="preserve">Routier </v>
      </c>
      <c r="G6" s="15" t="str">
        <v>Moyen</v>
      </c>
    </row>
    <row r="8" spans="1:11" x14ac:dyDescent="0.3">
      <c r="C8" s="7" t="str">
        <f>A5</f>
        <v>Fluvial</v>
      </c>
      <c r="D8" s="1"/>
      <c r="E8" t="s">
        <v>52</v>
      </c>
      <c r="G8" s="13" t="str">
        <f>$C$8</f>
        <v>Fluvial</v>
      </c>
      <c r="I8" s="13" t="str">
        <f>$C$8</f>
        <v>Fluvial</v>
      </c>
      <c r="K8" s="20" t="s">
        <v>52</v>
      </c>
    </row>
    <row r="9" spans="1:11" x14ac:dyDescent="0.3">
      <c r="C9" s="9" t="str" cm="1">
        <f t="array" ref="C9:C10">_xlfn._xlws.SORT(_xlfn.UNIQUE(_xlfn._xlws.FILTER(Tableau1[Voie de transport],Tableau1[[mode de transport ]]=Liste!$C$8)))</f>
        <v>Voie navigable Va</v>
      </c>
      <c r="E9" t="s">
        <v>54</v>
      </c>
      <c r="G9" s="15" t="str" cm="1">
        <f t="array" ref="G9:G11">_xlfn._xlws.SORT(_xlfn.UNIQUE(_xlfn._xlws.FILTER(Tableau1[[Densité de chargement ]],Tableau1[[mode de transport ]]=Liste!$G$8)))</f>
        <v>Léger</v>
      </c>
      <c r="I9" s="15" t="str" cm="1">
        <f t="array" ref="I9:I19">_xlfn._xlws.SORT(_xlfn.UNIQUE(_xlfn._xlws.FILTER(Tableau1[Type de véhicule],Tableau1[[mode de transport ]]=Liste!$I$8)))</f>
        <v xml:space="preserve">110m (2 couches) </v>
      </c>
      <c r="K9" t="s">
        <v>328</v>
      </c>
    </row>
    <row r="10" spans="1:11" x14ac:dyDescent="0.3">
      <c r="C10" s="10" t="str">
        <v>Voie navigable VIb</v>
      </c>
      <c r="E10" t="s">
        <v>15</v>
      </c>
      <c r="G10" s="16" t="str">
        <v>Lourd</v>
      </c>
      <c r="I10" s="16" t="str">
        <v xml:space="preserve">110m (3 couches) </v>
      </c>
      <c r="K10" t="s">
        <v>338</v>
      </c>
    </row>
    <row r="11" spans="1:11" x14ac:dyDescent="0.3">
      <c r="G11" s="15" t="str">
        <v>Moyen</v>
      </c>
      <c r="I11" s="15" t="str">
        <v xml:space="preserve">110m + barge (2 couches) </v>
      </c>
      <c r="K11" t="s">
        <v>329</v>
      </c>
    </row>
    <row r="12" spans="1:11" x14ac:dyDescent="0.3">
      <c r="I12" s="16" t="str">
        <v xml:space="preserve">110m + barge (3 couches) </v>
      </c>
      <c r="K12" t="s">
        <v>339</v>
      </c>
    </row>
    <row r="13" spans="1:11" x14ac:dyDescent="0.3">
      <c r="I13" s="17" t="str">
        <v>Campinois</v>
      </c>
    </row>
    <row r="14" spans="1:11" x14ac:dyDescent="0.3">
      <c r="I14" s="16" t="str">
        <v>Convoi poussé</v>
      </c>
    </row>
    <row r="15" spans="1:11" x14ac:dyDescent="0.3">
      <c r="I15" s="15" t="str">
        <v>DEK (Dortmund-Ems-Kanal)</v>
      </c>
    </row>
    <row r="16" spans="1:11" x14ac:dyDescent="0.3">
      <c r="I16" s="16" t="str">
        <v xml:space="preserve">Grand Rhénan </v>
      </c>
    </row>
    <row r="17" spans="3:15" x14ac:dyDescent="0.3">
      <c r="I17" s="17" t="str">
        <v>Petit Rhénan</v>
      </c>
    </row>
    <row r="18" spans="3:15" x14ac:dyDescent="0.3">
      <c r="I18" s="16" t="str">
        <v>RHK (Rhine-Herne canal )</v>
      </c>
    </row>
    <row r="19" spans="3:15" x14ac:dyDescent="0.3">
      <c r="I19" s="17" t="str">
        <v>Spits</v>
      </c>
    </row>
    <row r="20" spans="3:15" x14ac:dyDescent="0.3">
      <c r="I20" s="16"/>
    </row>
    <row r="24" spans="3:15" x14ac:dyDescent="0.3">
      <c r="C24" s="13" t="str">
        <f>A6</f>
        <v xml:space="preserve">Routier </v>
      </c>
      <c r="E24" t="s">
        <v>90</v>
      </c>
      <c r="G24" s="13" t="str">
        <f>$C$24</f>
        <v xml:space="preserve">Routier </v>
      </c>
      <c r="I24" s="13" t="str">
        <f>$C$24</f>
        <v xml:space="preserve">Routier </v>
      </c>
      <c r="K24" t="s">
        <v>90</v>
      </c>
    </row>
    <row r="25" spans="3:15" x14ac:dyDescent="0.3">
      <c r="C25" s="15" t="str" cm="1">
        <f t="array" ref="C25:C27">_xlfn._xlws.SORT(_xlfn.UNIQUE(_xlfn._xlws.FILTER(Tableau1[Voie de transport],Tableau1[[mode de transport ]]=Liste!$C$24)))</f>
        <v>Autoroute</v>
      </c>
      <c r="E25" t="s">
        <v>15</v>
      </c>
      <c r="G25" s="15" t="str" cm="1">
        <f t="array" ref="G25:G26">_xlfn._xlws.SORT(_xlfn.UNIQUE(_xlfn._xlws.FILTER(Tableau1[[Densité de chargement ]],Tableau1[[mode de transport ]]=Liste!$G$24)))</f>
        <v>Léger</v>
      </c>
      <c r="I25" s="15" t="str" cm="1">
        <f t="array" ref="I25:I33">_xlfn._xlws.SORT(_xlfn.UNIQUE(_xlfn._xlws.FILTER(Tableau1[Type de véhicule],Tableau1[[mode de transport ]]=Liste!$I$24)))</f>
        <v>Camion remorque &gt;20 t</v>
      </c>
      <c r="K25" t="s">
        <v>340</v>
      </c>
      <c r="N25" t="s">
        <v>25</v>
      </c>
      <c r="O25" t="s">
        <v>309</v>
      </c>
    </row>
    <row r="26" spans="3:15" x14ac:dyDescent="0.3">
      <c r="C26" s="16" t="str">
        <v>Rural</v>
      </c>
      <c r="E26" t="s">
        <v>113</v>
      </c>
      <c r="G26" t="str">
        <v>Moyen</v>
      </c>
      <c r="I26" s="16" t="str">
        <v>Camion remorque 10-20 t</v>
      </c>
      <c r="K26" s="28" t="s">
        <v>327</v>
      </c>
      <c r="N26" t="s">
        <v>310</v>
      </c>
      <c r="O26" t="s">
        <v>108</v>
      </c>
    </row>
    <row r="27" spans="3:15" x14ac:dyDescent="0.3">
      <c r="C27" s="15" t="str">
        <v>Urbain</v>
      </c>
      <c r="I27" s="15" t="str">
        <v xml:space="preserve">Eco-combi </v>
      </c>
      <c r="K27" s="28" t="s">
        <v>328</v>
      </c>
      <c r="N27" t="s">
        <v>26</v>
      </c>
      <c r="O27" t="s">
        <v>108</v>
      </c>
    </row>
    <row r="28" spans="3:15" x14ac:dyDescent="0.3">
      <c r="I28" s="16" t="str">
        <v>Monobloc  &lt;10 t</v>
      </c>
      <c r="K28" s="28" t="s">
        <v>329</v>
      </c>
      <c r="N28" t="s">
        <v>222</v>
      </c>
      <c r="O28" t="s">
        <v>108</v>
      </c>
    </row>
    <row r="29" spans="3:15" x14ac:dyDescent="0.3">
      <c r="I29" s="17" t="str">
        <v xml:space="preserve">Monobloc &gt;20 t </v>
      </c>
      <c r="K29" s="28" t="s">
        <v>330</v>
      </c>
      <c r="N29" t="s">
        <v>214</v>
      </c>
      <c r="O29" t="s">
        <v>108</v>
      </c>
    </row>
    <row r="30" spans="3:15" x14ac:dyDescent="0.3">
      <c r="I30" s="16" t="str">
        <v xml:space="preserve">Monobloc 10-20 t </v>
      </c>
      <c r="K30" s="28" t="s">
        <v>331</v>
      </c>
      <c r="N30" t="s">
        <v>212</v>
      </c>
      <c r="O30" t="s">
        <v>108</v>
      </c>
    </row>
    <row r="31" spans="3:15" x14ac:dyDescent="0.3">
      <c r="I31" s="15" t="str">
        <v xml:space="preserve">Semi-remorque, leger   </v>
      </c>
      <c r="K31" s="28" t="s">
        <v>332</v>
      </c>
      <c r="N31" t="s">
        <v>307</v>
      </c>
      <c r="O31" t="s">
        <v>108</v>
      </c>
    </row>
    <row r="32" spans="3:15" x14ac:dyDescent="0.3">
      <c r="I32" s="16" t="str">
        <v xml:space="preserve">Semi-remorque, lourd  </v>
      </c>
      <c r="K32" s="28" t="s">
        <v>333</v>
      </c>
      <c r="N32" t="s">
        <v>267</v>
      </c>
      <c r="O32" t="s">
        <v>108</v>
      </c>
    </row>
    <row r="33" spans="9:15" x14ac:dyDescent="0.3">
      <c r="I33" s="17" t="str">
        <v>Utilitaire léger (&lt;3.5t)</v>
      </c>
      <c r="K33" t="s">
        <v>334</v>
      </c>
      <c r="N33" t="s">
        <v>112</v>
      </c>
      <c r="O33" t="s">
        <v>305</v>
      </c>
    </row>
    <row r="34" spans="9:15" x14ac:dyDescent="0.3">
      <c r="I34" s="16"/>
      <c r="K34" t="s">
        <v>335</v>
      </c>
      <c r="N34" t="s">
        <v>223</v>
      </c>
      <c r="O34" t="s">
        <v>108</v>
      </c>
    </row>
    <row r="35" spans="9:15" x14ac:dyDescent="0.3">
      <c r="I35" s="17"/>
      <c r="K35" t="s">
        <v>336</v>
      </c>
      <c r="N35" t="s">
        <v>266</v>
      </c>
      <c r="O35" t="s">
        <v>108</v>
      </c>
    </row>
    <row r="36" spans="9:15" x14ac:dyDescent="0.3">
      <c r="I36" s="16"/>
      <c r="K36" t="s">
        <v>337</v>
      </c>
      <c r="N36" t="s">
        <v>264</v>
      </c>
      <c r="O36" t="s">
        <v>108</v>
      </c>
    </row>
    <row r="37" spans="9:15" x14ac:dyDescent="0.3">
      <c r="I37" s="14"/>
      <c r="K37" t="s">
        <v>338</v>
      </c>
      <c r="N37" t="s">
        <v>215</v>
      </c>
      <c r="O37" t="s">
        <v>108</v>
      </c>
    </row>
  </sheetData>
  <sheetProtection algorithmName="SHA-512" hashValue="kBqKCqWqhBR661Lcks3k+yIqFAao4Iu9sPEy3s9umv7oC8HFDf7AyUTDlCAnQPPdBNt7itVKFvyIg40tTLaYHQ==" saltValue="B5Jltp84FXI4tkto1Eu9Mg==" spinCount="100000" sheet="1" objects="1" scenarios="1"/>
  <phoneticPr fontId="4" type="noConversion"/>
  <pageMargins left="0.7" right="0.7" top="0.75" bottom="0.75" header="0.3" footer="0.3"/>
  <pageSetup paperSize="9" orientation="portrait" r:id="rId1"/>
  <ignoredErrors>
    <ignoredError sqref="E4:E5 E9:E10 E25:E26" calculatedColumn="1"/>
  </ignoredErrors>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C149D-89DB-4886-BB2D-63E1EC3F3A41}">
  <sheetPr>
    <tabColor theme="9"/>
  </sheetPr>
  <dimension ref="A1:BR79"/>
  <sheetViews>
    <sheetView showGridLines="0" zoomScaleNormal="100" workbookViewId="0">
      <selection activeCell="M11" sqref="M11"/>
    </sheetView>
  </sheetViews>
  <sheetFormatPr baseColWidth="10" defaultColWidth="11.44140625" defaultRowHeight="14.4" x14ac:dyDescent="0.3"/>
  <cols>
    <col min="1" max="1" width="4.5546875" customWidth="1"/>
    <col min="2" max="2" width="17.5546875" customWidth="1"/>
    <col min="3" max="3" width="26.44140625" bestFit="1" customWidth="1"/>
    <col min="4" max="4" width="3.6640625" customWidth="1"/>
    <col min="5" max="5" width="23.33203125" bestFit="1" customWidth="1"/>
    <col min="6" max="6" width="7.6640625" bestFit="1" customWidth="1"/>
    <col min="7" max="7" width="25" bestFit="1" customWidth="1"/>
    <col min="8" max="8" width="7.6640625" bestFit="1" customWidth="1"/>
    <col min="9" max="9" width="23.88671875" bestFit="1" customWidth="1"/>
    <col min="10" max="10" width="7.6640625" bestFit="1" customWidth="1"/>
    <col min="11" max="11" width="23.88671875" bestFit="1" customWidth="1"/>
    <col min="12" max="12" width="2.5546875" customWidth="1"/>
    <col min="13" max="13" width="16.5546875" customWidth="1"/>
    <col min="14" max="14" width="1.44140625" customWidth="1"/>
    <col min="15" max="15" width="0.5546875" customWidth="1"/>
    <col min="16" max="16" width="0.109375" customWidth="1"/>
    <col min="17" max="17" width="24.6640625" bestFit="1" customWidth="1"/>
    <col min="18" max="18" width="3.88671875" customWidth="1"/>
    <col min="19" max="19" width="2.88671875" customWidth="1"/>
    <col min="20" max="20" width="22.6640625" customWidth="1"/>
    <col min="37" max="37" width="20.88671875" style="121" customWidth="1"/>
    <col min="38" max="38" width="16.33203125" style="18" customWidth="1"/>
    <col min="39" max="39" width="18.88671875" customWidth="1"/>
    <col min="40" max="40" width="2.5546875" customWidth="1"/>
    <col min="41" max="41" width="19.44140625" customWidth="1"/>
    <col min="42" max="42" width="2.44140625" customWidth="1"/>
    <col min="43" max="43" width="16.5546875" customWidth="1"/>
    <col min="44" max="44" width="8.109375" customWidth="1"/>
    <col min="45" max="45" width="17.6640625" customWidth="1"/>
    <col min="46" max="46" width="2.88671875" customWidth="1"/>
  </cols>
  <sheetData>
    <row r="1" spans="1:70" x14ac:dyDescent="0.3">
      <c r="A1" s="186" t="s">
        <v>0</v>
      </c>
      <c r="B1" s="186"/>
      <c r="C1" s="186"/>
      <c r="D1" s="186"/>
      <c r="E1" s="187" t="s">
        <v>1</v>
      </c>
      <c r="F1" s="187"/>
      <c r="G1" s="187"/>
      <c r="H1" s="187"/>
      <c r="T1" s="244" t="s">
        <v>2</v>
      </c>
      <c r="U1" s="244"/>
      <c r="V1" s="244"/>
      <c r="W1" s="244"/>
      <c r="X1" s="244"/>
      <c r="Y1" s="244"/>
      <c r="Z1" s="244"/>
      <c r="AA1" s="244"/>
      <c r="AB1" s="244"/>
      <c r="AC1" s="244"/>
      <c r="AD1" s="244"/>
      <c r="AE1" s="244"/>
      <c r="AF1" s="244"/>
      <c r="AG1" s="244"/>
      <c r="AH1" s="244"/>
      <c r="AI1" s="244"/>
    </row>
    <row r="2" spans="1:70" ht="15" thickBot="1" x14ac:dyDescent="0.35">
      <c r="A2" s="2"/>
      <c r="B2" s="2"/>
      <c r="C2" s="2"/>
      <c r="D2" s="2"/>
      <c r="E2" s="2"/>
      <c r="F2" s="2"/>
      <c r="G2" s="2"/>
      <c r="H2" s="2"/>
      <c r="T2" s="245"/>
      <c r="U2" s="245"/>
      <c r="V2" s="245"/>
      <c r="W2" s="245"/>
      <c r="X2" s="245"/>
      <c r="Y2" s="245"/>
      <c r="Z2" s="245"/>
      <c r="AA2" s="245"/>
      <c r="AB2" s="245"/>
      <c r="AC2" s="245"/>
      <c r="AD2" s="245"/>
      <c r="AE2" s="245"/>
      <c r="AF2" s="245"/>
      <c r="AG2" s="245"/>
      <c r="AH2" s="245"/>
      <c r="AI2" s="245"/>
      <c r="AU2" s="28"/>
      <c r="AV2" s="28"/>
      <c r="AW2" s="28"/>
      <c r="AX2" s="28"/>
      <c r="AY2" s="28"/>
      <c r="AZ2" s="28"/>
      <c r="BA2" s="28"/>
      <c r="BB2" s="28"/>
      <c r="BC2" s="28"/>
      <c r="BD2" s="28"/>
      <c r="BE2" s="28"/>
      <c r="BF2" s="28"/>
      <c r="BG2" s="28"/>
      <c r="BH2" s="28"/>
      <c r="BI2" s="28"/>
      <c r="BJ2" s="28"/>
      <c r="BK2" s="28"/>
      <c r="BL2" s="28"/>
      <c r="BM2" s="28"/>
      <c r="BN2" s="28"/>
      <c r="BO2" s="28"/>
      <c r="BP2" s="28"/>
      <c r="BQ2" s="28"/>
      <c r="BR2" s="28"/>
    </row>
    <row r="3" spans="1:70" ht="25.8" x14ac:dyDescent="0.5">
      <c r="B3" s="258" t="s">
        <v>3</v>
      </c>
      <c r="C3" s="259"/>
      <c r="D3" s="259"/>
      <c r="E3" s="259"/>
      <c r="F3" s="259"/>
      <c r="G3" s="259"/>
      <c r="H3" s="259"/>
      <c r="I3" s="259"/>
      <c r="J3" s="259"/>
      <c r="K3" s="259"/>
      <c r="L3" s="259"/>
      <c r="M3" s="259"/>
      <c r="N3" s="259"/>
      <c r="O3" s="259"/>
      <c r="P3" s="259"/>
      <c r="Q3" s="259"/>
      <c r="R3" s="260"/>
      <c r="T3" s="246"/>
      <c r="U3" s="247"/>
      <c r="V3" s="247"/>
      <c r="W3" s="247"/>
      <c r="X3" s="247"/>
      <c r="Y3" s="247"/>
      <c r="Z3" s="247"/>
      <c r="AA3" s="247"/>
      <c r="AB3" s="247"/>
      <c r="AC3" s="247"/>
      <c r="AD3" s="247"/>
      <c r="AE3" s="247"/>
      <c r="AF3" s="247"/>
      <c r="AG3" s="247"/>
      <c r="AH3" s="247"/>
      <c r="AI3" s="248"/>
      <c r="AK3" s="188" t="s">
        <v>4</v>
      </c>
      <c r="AM3" s="189">
        <v>1</v>
      </c>
      <c r="AN3" s="189"/>
      <c r="AO3" s="189">
        <v>2</v>
      </c>
      <c r="AP3" s="189"/>
      <c r="AQ3" s="189">
        <v>3</v>
      </c>
      <c r="AR3" s="189"/>
      <c r="AS3" s="189">
        <v>4</v>
      </c>
      <c r="AU3" s="28"/>
      <c r="AV3" s="28"/>
      <c r="AW3" s="28"/>
      <c r="AX3" s="28"/>
      <c r="AY3" s="28"/>
      <c r="AZ3" s="28"/>
      <c r="BA3" s="28"/>
      <c r="BB3" s="28"/>
      <c r="BC3" s="28"/>
      <c r="BD3" s="28"/>
      <c r="BE3" s="28"/>
      <c r="BF3" s="28"/>
      <c r="BG3" s="28"/>
      <c r="BH3" s="28"/>
      <c r="BI3" s="28"/>
      <c r="BJ3" s="28"/>
      <c r="BK3" s="28"/>
      <c r="BL3" s="28"/>
      <c r="BM3" s="28"/>
      <c r="BN3" s="28"/>
      <c r="BO3" s="28"/>
      <c r="BP3" s="28"/>
      <c r="BQ3" s="28"/>
      <c r="BR3" s="28"/>
    </row>
    <row r="4" spans="1:70" ht="18.600000000000001" thickBot="1" x14ac:dyDescent="0.4">
      <c r="B4" s="91"/>
      <c r="C4" s="190" t="s">
        <v>5</v>
      </c>
      <c r="D4" s="191"/>
      <c r="E4" s="192">
        <v>1</v>
      </c>
      <c r="F4" s="192"/>
      <c r="G4" s="192">
        <v>2</v>
      </c>
      <c r="H4" s="192"/>
      <c r="I4" s="192">
        <v>3</v>
      </c>
      <c r="J4" s="192"/>
      <c r="K4" s="192">
        <v>4</v>
      </c>
      <c r="L4" s="192"/>
      <c r="M4" s="192" t="s">
        <v>282</v>
      </c>
      <c r="N4" s="192"/>
      <c r="O4" s="192"/>
      <c r="P4" s="192"/>
      <c r="Q4" s="192" t="s">
        <v>119</v>
      </c>
      <c r="R4" s="193"/>
      <c r="T4" s="249"/>
      <c r="U4" s="250"/>
      <c r="V4" s="250"/>
      <c r="W4" s="250"/>
      <c r="X4" s="250"/>
      <c r="Y4" s="250"/>
      <c r="Z4" s="250"/>
      <c r="AA4" s="250"/>
      <c r="AB4" s="250"/>
      <c r="AC4" s="250"/>
      <c r="AD4" s="250"/>
      <c r="AE4" s="250"/>
      <c r="AF4" s="250"/>
      <c r="AG4" s="250"/>
      <c r="AH4" s="250"/>
      <c r="AI4" s="251"/>
      <c r="AK4" s="194" t="s">
        <v>6</v>
      </c>
      <c r="AL4" s="98" t="s">
        <v>7</v>
      </c>
      <c r="AM4" s="1" t="str">
        <f>E5</f>
        <v xml:space="preserve">Routier </v>
      </c>
      <c r="AN4" s="1"/>
      <c r="AO4" s="1" t="str">
        <f>G5</f>
        <v>Fluvial</v>
      </c>
      <c r="AP4" s="1"/>
      <c r="AQ4" s="1" t="str">
        <f>I5</f>
        <v>Fluvial</v>
      </c>
      <c r="AR4" s="1"/>
      <c r="AS4" s="1" t="str">
        <f>K5</f>
        <v>Fluvial</v>
      </c>
      <c r="AU4" s="28"/>
      <c r="AV4" s="28"/>
      <c r="AW4" s="28"/>
      <c r="AX4" s="28"/>
      <c r="AY4" s="28"/>
      <c r="AZ4" s="28"/>
      <c r="BA4" s="28"/>
      <c r="BB4" s="28"/>
      <c r="BC4" s="28"/>
      <c r="BD4" s="28"/>
      <c r="BE4" s="28"/>
      <c r="BF4" s="28"/>
      <c r="BG4" s="28"/>
      <c r="BH4" s="28"/>
      <c r="BI4" s="28"/>
      <c r="BJ4" s="28"/>
      <c r="BK4" s="28"/>
      <c r="BL4" s="28"/>
      <c r="BM4" s="28"/>
      <c r="BN4" s="28"/>
      <c r="BO4" s="28"/>
      <c r="BP4" s="28"/>
      <c r="BQ4" s="28"/>
      <c r="BR4" s="28"/>
    </row>
    <row r="5" spans="1:70" x14ac:dyDescent="0.3">
      <c r="A5" s="18"/>
      <c r="B5" s="91"/>
      <c r="C5" s="178" t="s">
        <v>314</v>
      </c>
      <c r="D5" s="92"/>
      <c r="E5" s="85" t="s">
        <v>9</v>
      </c>
      <c r="F5" s="93"/>
      <c r="G5" s="85" t="s">
        <v>52</v>
      </c>
      <c r="H5" s="93"/>
      <c r="I5" s="85" t="s">
        <v>52</v>
      </c>
      <c r="J5" s="93"/>
      <c r="K5" s="85" t="s">
        <v>52</v>
      </c>
      <c r="L5" s="93"/>
      <c r="M5" s="184"/>
      <c r="N5" s="93"/>
      <c r="O5" s="93"/>
      <c r="P5" s="93"/>
      <c r="Q5" s="185" t="s">
        <v>9</v>
      </c>
      <c r="R5" s="94"/>
      <c r="T5" s="95"/>
      <c r="U5" s="30"/>
      <c r="V5" s="30"/>
      <c r="W5" s="30"/>
      <c r="X5" s="30"/>
      <c r="Y5" s="30"/>
      <c r="Z5" s="30"/>
      <c r="AA5" s="30"/>
      <c r="AB5" s="30"/>
      <c r="AC5" s="30"/>
      <c r="AD5" s="30"/>
      <c r="AE5" s="30"/>
      <c r="AF5" s="30"/>
      <c r="AG5" s="30"/>
      <c r="AH5" s="30"/>
      <c r="AI5" s="96"/>
      <c r="AK5" s="181" t="s">
        <v>10</v>
      </c>
      <c r="AL5" s="98" t="s">
        <v>7</v>
      </c>
      <c r="AM5" s="1" t="str">
        <f>E7</f>
        <v>Autoroute</v>
      </c>
      <c r="AN5" s="1"/>
      <c r="AO5" s="1" t="str">
        <f>G7</f>
        <v>Voie navigable VIb</v>
      </c>
      <c r="AP5" s="1"/>
      <c r="AQ5" s="1" t="str">
        <f>I7</f>
        <v>Voie navigable Va</v>
      </c>
      <c r="AR5" s="1"/>
      <c r="AS5" s="1" t="str">
        <f>K7</f>
        <v>Voie navigable Va</v>
      </c>
      <c r="AU5" s="28"/>
      <c r="AV5" s="28"/>
      <c r="AW5" s="28"/>
      <c r="AX5" s="28"/>
      <c r="AY5" s="28"/>
      <c r="AZ5" s="28"/>
      <c r="BA5" s="28"/>
      <c r="BB5" s="28"/>
      <c r="BC5" s="28"/>
      <c r="BD5" s="28"/>
      <c r="BE5" s="28"/>
      <c r="BF5" s="28"/>
      <c r="BG5" s="28"/>
      <c r="BH5" s="28"/>
      <c r="BI5" s="28"/>
      <c r="BJ5" s="28"/>
      <c r="BK5" s="28"/>
      <c r="BL5" s="28"/>
      <c r="BM5" s="28"/>
      <c r="BN5" s="28"/>
      <c r="BO5" s="28"/>
      <c r="BP5" s="28"/>
      <c r="BQ5" s="28"/>
      <c r="BR5" s="28"/>
    </row>
    <row r="6" spans="1:70" ht="15" customHeight="1" x14ac:dyDescent="0.3">
      <c r="A6" s="18"/>
      <c r="B6" s="91"/>
      <c r="C6" s="172"/>
      <c r="D6" s="92"/>
      <c r="E6" s="171"/>
      <c r="F6" s="93"/>
      <c r="G6" s="171"/>
      <c r="H6" s="93"/>
      <c r="I6" s="171"/>
      <c r="J6" s="93"/>
      <c r="K6" s="171"/>
      <c r="L6" s="93"/>
      <c r="M6" s="261" t="s">
        <v>283</v>
      </c>
      <c r="N6" s="93"/>
      <c r="O6" s="93"/>
      <c r="P6" s="93"/>
      <c r="Q6" s="171"/>
      <c r="R6" s="94"/>
      <c r="T6" s="95"/>
      <c r="U6" s="30"/>
      <c r="V6" s="30"/>
      <c r="W6" s="30"/>
      <c r="X6" s="30"/>
      <c r="Y6" s="30"/>
      <c r="Z6" s="30"/>
      <c r="AA6" s="30"/>
      <c r="AB6" s="30"/>
      <c r="AC6" s="30"/>
      <c r="AD6" s="30"/>
      <c r="AE6" s="30"/>
      <c r="AF6" s="30"/>
      <c r="AG6" s="30"/>
      <c r="AH6" s="30"/>
      <c r="AI6" s="96"/>
      <c r="AL6" s="182" t="s">
        <v>11</v>
      </c>
      <c r="AM6" s="183" t="str" cm="1">
        <f t="array" ref="AM6:AM8">_xlfn._xlws.SORT(_xlfn.UNIQUE(_xlfn._xlws.FILTER(Tableau1[Voie de transport],Tableau1[[mode de transport ]]=AM4)))</f>
        <v>Autoroute</v>
      </c>
      <c r="AN6" s="183"/>
      <c r="AO6" s="183" t="str" cm="1">
        <f t="array" ref="AO6:AO7">_xlfn._xlws.SORT(_xlfn.UNIQUE(_xlfn._xlws.FILTER(Tableau1[Voie de transport],Tableau1[[mode de transport ]]=AO4)))</f>
        <v>Voie navigable Va</v>
      </c>
      <c r="AP6" s="183"/>
      <c r="AQ6" s="183" t="str" cm="1">
        <f t="array" ref="AQ6:AQ7">_xlfn._xlws.SORT(_xlfn.UNIQUE(_xlfn._xlws.FILTER(Tableau1[Voie de transport],Tableau1[[mode de transport ]]=AQ4)))</f>
        <v>Voie navigable Va</v>
      </c>
      <c r="AR6" s="183"/>
      <c r="AS6" s="183" t="str" cm="1">
        <f t="array" ref="AS6:AS7">_xlfn._xlws.SORT(_xlfn.UNIQUE(_xlfn._xlws.FILTER(Tableau1[Voie de transport],Tableau1[[mode de transport ]]=AS4)))</f>
        <v>Voie navigable Va</v>
      </c>
      <c r="AU6" s="28"/>
      <c r="AV6" s="28"/>
      <c r="AW6" s="28"/>
      <c r="AX6" s="28"/>
      <c r="AY6" s="28"/>
      <c r="AZ6" s="28"/>
      <c r="BA6" s="28"/>
      <c r="BB6" s="28"/>
      <c r="BC6" s="28"/>
      <c r="BD6" s="28"/>
      <c r="BE6" s="28"/>
      <c r="BF6" s="28"/>
      <c r="BG6" s="28"/>
      <c r="BH6" s="28"/>
      <c r="BI6" s="28"/>
      <c r="BJ6" s="28"/>
      <c r="BK6" s="28"/>
      <c r="BL6" s="28"/>
      <c r="BM6" s="28"/>
      <c r="BN6" s="28"/>
      <c r="BO6" s="28"/>
      <c r="BP6" s="28"/>
      <c r="BQ6" s="28"/>
      <c r="BR6" s="28"/>
    </row>
    <row r="7" spans="1:70" ht="15" thickBot="1" x14ac:dyDescent="0.35">
      <c r="A7" s="18"/>
      <c r="B7" s="91"/>
      <c r="C7" s="178" t="s">
        <v>12</v>
      </c>
      <c r="D7" s="92"/>
      <c r="E7" s="86" t="s">
        <v>80</v>
      </c>
      <c r="F7" s="93"/>
      <c r="G7" s="86" t="s">
        <v>62</v>
      </c>
      <c r="H7" s="93"/>
      <c r="I7" s="86" t="s">
        <v>53</v>
      </c>
      <c r="J7" s="93"/>
      <c r="K7" s="86" t="s">
        <v>53</v>
      </c>
      <c r="L7" s="93"/>
      <c r="M7" s="262"/>
      <c r="N7" s="93"/>
      <c r="O7" s="93"/>
      <c r="P7" s="93"/>
      <c r="Q7" s="86" t="s">
        <v>80</v>
      </c>
      <c r="R7" s="94"/>
      <c r="T7" s="95"/>
      <c r="U7" s="30"/>
      <c r="V7" s="30"/>
      <c r="W7" s="30"/>
      <c r="X7" s="30"/>
      <c r="Y7" s="30"/>
      <c r="Z7" s="30"/>
      <c r="AA7" s="30"/>
      <c r="AB7" s="30"/>
      <c r="AC7" s="30"/>
      <c r="AD7" s="30"/>
      <c r="AE7" s="30"/>
      <c r="AF7" s="30"/>
      <c r="AG7" s="30"/>
      <c r="AH7" s="30"/>
      <c r="AI7" s="96"/>
      <c r="AL7" s="182" t="s">
        <v>11</v>
      </c>
      <c r="AM7" s="183" t="str">
        <v>Rural</v>
      </c>
      <c r="AN7" s="183"/>
      <c r="AO7" s="183" t="str">
        <v>Voie navigable VIb</v>
      </c>
      <c r="AP7" s="183"/>
      <c r="AQ7" s="183" t="str">
        <v>Voie navigable VIb</v>
      </c>
      <c r="AR7" s="183"/>
      <c r="AS7" s="183" t="str">
        <v>Voie navigable VIb</v>
      </c>
      <c r="AU7" s="28"/>
      <c r="AV7" s="28"/>
      <c r="AW7" s="28"/>
      <c r="AX7" s="28"/>
      <c r="AY7" s="28"/>
      <c r="AZ7" s="28"/>
      <c r="BA7" s="28"/>
      <c r="BB7" s="28"/>
      <c r="BC7" s="28"/>
      <c r="BD7" s="28"/>
      <c r="BE7" s="28"/>
      <c r="BF7" s="28"/>
      <c r="BG7" s="28"/>
      <c r="BH7" s="28"/>
      <c r="BI7" s="28"/>
      <c r="BJ7" s="28"/>
      <c r="BK7" s="28"/>
      <c r="BL7" s="28"/>
      <c r="BM7" s="28"/>
      <c r="BN7" s="28"/>
      <c r="BO7" s="28"/>
      <c r="BP7" s="28"/>
      <c r="BQ7" s="28"/>
      <c r="BR7" s="28"/>
    </row>
    <row r="8" spans="1:70" ht="15" thickBot="1" x14ac:dyDescent="0.35">
      <c r="A8" s="18"/>
      <c r="B8" s="91"/>
      <c r="C8" s="172"/>
      <c r="D8" s="92"/>
      <c r="E8" s="171"/>
      <c r="F8" s="93"/>
      <c r="G8" s="171"/>
      <c r="H8" s="93"/>
      <c r="I8" s="171"/>
      <c r="J8" s="93"/>
      <c r="K8" s="171"/>
      <c r="L8" s="93"/>
      <c r="M8" s="233">
        <v>1</v>
      </c>
      <c r="N8" s="93"/>
      <c r="O8" s="93"/>
      <c r="P8" s="93"/>
      <c r="Q8" s="171"/>
      <c r="R8" s="94"/>
      <c r="T8" s="95"/>
      <c r="U8" s="30"/>
      <c r="V8" s="30"/>
      <c r="W8" s="30"/>
      <c r="X8" s="30"/>
      <c r="Y8" s="30"/>
      <c r="Z8" s="30"/>
      <c r="AA8" s="30"/>
      <c r="AB8" s="30"/>
      <c r="AC8" s="30"/>
      <c r="AD8" s="30"/>
      <c r="AE8" s="30"/>
      <c r="AF8" s="30"/>
      <c r="AG8" s="30"/>
      <c r="AH8" s="30"/>
      <c r="AI8" s="96"/>
      <c r="AL8" s="182" t="s">
        <v>11</v>
      </c>
      <c r="AM8" s="183" t="str">
        <v>Urbain</v>
      </c>
      <c r="AN8" s="183"/>
      <c r="AO8" s="183"/>
      <c r="AP8" s="183"/>
      <c r="AQ8" s="183"/>
      <c r="AR8" s="183"/>
      <c r="AS8" s="183"/>
      <c r="AU8" s="28"/>
      <c r="AV8" s="28"/>
      <c r="AW8" s="28"/>
      <c r="AX8" s="28"/>
      <c r="AY8" s="28"/>
      <c r="AZ8" s="28"/>
      <c r="BA8" s="28"/>
      <c r="BB8" s="28"/>
      <c r="BC8" s="28"/>
      <c r="BD8" s="28"/>
      <c r="BE8" s="28"/>
      <c r="BF8" s="28"/>
      <c r="BG8" s="28"/>
      <c r="BH8" s="28"/>
      <c r="BI8" s="28"/>
      <c r="BJ8" s="28"/>
      <c r="BK8" s="28"/>
      <c r="BL8" s="28"/>
      <c r="BM8" s="28"/>
      <c r="BN8" s="28"/>
      <c r="BO8" s="28"/>
      <c r="BP8" s="28"/>
      <c r="BQ8" s="28"/>
      <c r="BR8" s="28"/>
    </row>
    <row r="9" spans="1:70" x14ac:dyDescent="0.3">
      <c r="A9" s="18"/>
      <c r="B9" s="91"/>
      <c r="C9" s="178" t="s">
        <v>315</v>
      </c>
      <c r="D9" s="92"/>
      <c r="E9" s="86" t="s">
        <v>15</v>
      </c>
      <c r="F9" s="93"/>
      <c r="G9" s="86" t="s">
        <v>15</v>
      </c>
      <c r="H9" s="93"/>
      <c r="I9" s="86" t="s">
        <v>15</v>
      </c>
      <c r="J9" s="93"/>
      <c r="K9" s="86" t="s">
        <v>15</v>
      </c>
      <c r="L9" s="93"/>
      <c r="M9" s="179"/>
      <c r="N9" s="93"/>
      <c r="O9" s="93"/>
      <c r="P9" s="93"/>
      <c r="Q9" s="86" t="s">
        <v>15</v>
      </c>
      <c r="R9" s="94"/>
      <c r="T9" s="95"/>
      <c r="U9" s="30"/>
      <c r="V9" s="30"/>
      <c r="W9" s="30"/>
      <c r="X9" s="30"/>
      <c r="Y9" s="30"/>
      <c r="Z9" s="30"/>
      <c r="AA9" s="30"/>
      <c r="AB9" s="30"/>
      <c r="AC9" s="30"/>
      <c r="AD9" s="30"/>
      <c r="AE9" s="30"/>
      <c r="AF9" s="30"/>
      <c r="AG9" s="30"/>
      <c r="AH9" s="30"/>
      <c r="AI9" s="96"/>
      <c r="AL9" s="182" t="s">
        <v>11</v>
      </c>
      <c r="AM9" s="183"/>
      <c r="AN9" s="183"/>
      <c r="AO9" s="183"/>
      <c r="AP9" s="183"/>
      <c r="AQ9" s="183"/>
      <c r="AR9" s="183"/>
      <c r="AS9" s="183"/>
      <c r="AU9" s="28"/>
      <c r="AV9" s="28"/>
      <c r="AW9" s="28"/>
      <c r="AX9" s="28"/>
      <c r="AY9" s="28"/>
      <c r="AZ9" s="28"/>
      <c r="BA9" s="28"/>
      <c r="BB9" s="28"/>
      <c r="BC9" s="28"/>
      <c r="BD9" s="28"/>
      <c r="BE9" s="28"/>
      <c r="BF9" s="28"/>
      <c r="BG9" s="28"/>
      <c r="BH9" s="28"/>
      <c r="BI9" s="28"/>
      <c r="BJ9" s="28"/>
      <c r="BK9" s="28"/>
      <c r="BL9" s="28"/>
      <c r="BM9" s="28"/>
      <c r="BN9" s="28"/>
      <c r="BO9" s="28"/>
      <c r="BP9" s="28"/>
      <c r="BQ9" s="28"/>
      <c r="BR9" s="28"/>
    </row>
    <row r="10" spans="1:70" x14ac:dyDescent="0.3">
      <c r="A10" s="18"/>
      <c r="B10" s="91"/>
      <c r="C10" s="172"/>
      <c r="D10" s="92"/>
      <c r="E10" s="179"/>
      <c r="F10" s="92"/>
      <c r="G10" s="179"/>
      <c r="H10" s="92"/>
      <c r="I10" s="179"/>
      <c r="J10" s="92"/>
      <c r="K10" s="179"/>
      <c r="L10" s="92"/>
      <c r="M10" s="179"/>
      <c r="N10" s="92"/>
      <c r="O10" s="92"/>
      <c r="P10" s="92"/>
      <c r="Q10" s="179"/>
      <c r="R10" s="94"/>
      <c r="T10" s="95"/>
      <c r="U10" s="30"/>
      <c r="V10" s="30"/>
      <c r="W10" s="30"/>
      <c r="X10" s="30"/>
      <c r="Y10" s="30"/>
      <c r="Z10" s="30"/>
      <c r="AA10" s="30"/>
      <c r="AB10" s="30"/>
      <c r="AC10" s="30"/>
      <c r="AD10" s="30"/>
      <c r="AE10" s="30"/>
      <c r="AF10" s="30"/>
      <c r="AG10" s="30"/>
      <c r="AH10" s="30"/>
      <c r="AI10" s="96"/>
      <c r="AK10" s="181" t="s">
        <v>17</v>
      </c>
      <c r="AL10" s="98" t="s">
        <v>7</v>
      </c>
      <c r="AM10" s="1" t="str">
        <f>E9</f>
        <v>Vrac</v>
      </c>
      <c r="AN10" s="1"/>
      <c r="AO10" s="1" t="str">
        <f>G9</f>
        <v>Vrac</v>
      </c>
      <c r="AP10" s="1"/>
      <c r="AQ10" s="1" t="str">
        <f>I9</f>
        <v>Vrac</v>
      </c>
      <c r="AR10" s="1"/>
      <c r="AS10" s="1" t="str">
        <f>K9</f>
        <v>Vrac</v>
      </c>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row>
    <row r="11" spans="1:70" x14ac:dyDescent="0.3">
      <c r="A11" s="18"/>
      <c r="B11" s="91"/>
      <c r="C11" s="178" t="s">
        <v>18</v>
      </c>
      <c r="D11" s="92"/>
      <c r="E11" s="86" t="s">
        <v>63</v>
      </c>
      <c r="F11" s="93"/>
      <c r="G11" s="86" t="s">
        <v>63</v>
      </c>
      <c r="H11" s="93"/>
      <c r="I11" s="86" t="s">
        <v>19</v>
      </c>
      <c r="J11" s="93"/>
      <c r="K11" s="86" t="s">
        <v>19</v>
      </c>
      <c r="L11" s="93"/>
      <c r="M11" s="179"/>
      <c r="N11" s="93"/>
      <c r="O11" s="93"/>
      <c r="P11" s="93"/>
      <c r="Q11" s="86" t="s">
        <v>19</v>
      </c>
      <c r="R11" s="94"/>
      <c r="T11" s="95"/>
      <c r="U11" s="30"/>
      <c r="V11" s="30"/>
      <c r="W11" s="30"/>
      <c r="X11" s="30"/>
      <c r="Y11" s="30"/>
      <c r="Z11" s="30"/>
      <c r="AA11" s="30"/>
      <c r="AB11" s="30"/>
      <c r="AC11" s="30"/>
      <c r="AD11" s="30"/>
      <c r="AE11" s="30"/>
      <c r="AF11" s="30"/>
      <c r="AG11" s="30"/>
      <c r="AH11" s="30"/>
      <c r="AI11" s="96"/>
      <c r="AL11" s="18" t="s">
        <v>20</v>
      </c>
      <c r="AM11" t="str" cm="1">
        <f t="array" ref="AM11:AM12">_xlfn._xlws.SORT(_xlfn.UNIQUE(_xlfn._xlws.FILTER(Tableau1[Type de chargement],Tableau1[Voie de transport]=AM5)))</f>
        <v>Conteneur</v>
      </c>
      <c r="AO11" t="str" cm="1">
        <f t="array" ref="AO11:AO12">_xlfn._xlws.SORT(_xlfn.UNIQUE(_xlfn._xlws.FILTER(Tableau1[Type de chargement],Tableau1[Voie de transport]=AO5)))</f>
        <v>Conteneur</v>
      </c>
      <c r="AQ11" t="str" cm="1">
        <f t="array" ref="AQ11:AQ12">_xlfn._xlws.SORT(_xlfn.UNIQUE(_xlfn._xlws.FILTER(Tableau1[Type de chargement],Tableau1[Voie de transport]=AQ5)))</f>
        <v>Conteneur</v>
      </c>
      <c r="AS11" t="str" cm="1">
        <f t="array" ref="AS11:AS12">_xlfn._xlws.SORT(_xlfn.UNIQUE(_xlfn._xlws.FILTER(Tableau1[Type de chargement],Tableau1[Voie de transport]=AS5)))</f>
        <v>Conteneur</v>
      </c>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row>
    <row r="12" spans="1:70" x14ac:dyDescent="0.3">
      <c r="A12" s="18"/>
      <c r="B12" s="91"/>
      <c r="C12" s="172"/>
      <c r="D12" s="92"/>
      <c r="E12" s="171"/>
      <c r="F12" s="93"/>
      <c r="G12" s="171"/>
      <c r="H12" s="93"/>
      <c r="I12" s="171"/>
      <c r="J12" s="93"/>
      <c r="K12" s="171"/>
      <c r="L12" s="93"/>
      <c r="M12" s="179"/>
      <c r="N12" s="93"/>
      <c r="O12" s="93"/>
      <c r="P12" s="93"/>
      <c r="Q12" s="171"/>
      <c r="R12" s="94"/>
      <c r="T12" s="95"/>
      <c r="U12" s="30"/>
      <c r="V12" s="30"/>
      <c r="W12" s="30"/>
      <c r="X12" s="30"/>
      <c r="Y12" s="30"/>
      <c r="Z12" s="30"/>
      <c r="AA12" s="30"/>
      <c r="AB12" s="30"/>
      <c r="AC12" s="30"/>
      <c r="AD12" s="30"/>
      <c r="AE12" s="30"/>
      <c r="AF12" s="30"/>
      <c r="AG12" s="30"/>
      <c r="AH12" s="30"/>
      <c r="AI12" s="96"/>
      <c r="AL12" s="18" t="s">
        <v>20</v>
      </c>
      <c r="AM12" t="str">
        <v>Vrac</v>
      </c>
      <c r="AO12" t="str">
        <v>Vrac</v>
      </c>
      <c r="AQ12" t="str">
        <v>Vrac</v>
      </c>
      <c r="AS12" t="str">
        <v>Vrac</v>
      </c>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row>
    <row r="13" spans="1:70" x14ac:dyDescent="0.3">
      <c r="A13" s="18"/>
      <c r="B13" s="91"/>
      <c r="C13" s="178" t="s">
        <v>291</v>
      </c>
      <c r="D13" s="92"/>
      <c r="E13" s="86" t="s">
        <v>78</v>
      </c>
      <c r="F13" s="93"/>
      <c r="G13" s="86" t="s">
        <v>71</v>
      </c>
      <c r="H13" s="93"/>
      <c r="I13" s="86" t="s">
        <v>61</v>
      </c>
      <c r="J13" s="93"/>
      <c r="K13" s="86" t="s">
        <v>71</v>
      </c>
      <c r="L13" s="93"/>
      <c r="M13" s="179"/>
      <c r="N13" s="93"/>
      <c r="O13" s="93"/>
      <c r="P13" s="93"/>
      <c r="Q13" s="86" t="s">
        <v>86</v>
      </c>
      <c r="R13" s="94"/>
      <c r="T13" s="95"/>
      <c r="U13" s="30"/>
      <c r="V13" s="30"/>
      <c r="W13" s="30"/>
      <c r="X13" s="30"/>
      <c r="Y13" s="30"/>
      <c r="Z13" s="30"/>
      <c r="AA13" s="30"/>
      <c r="AB13" s="30"/>
      <c r="AC13" s="30"/>
      <c r="AD13" s="30"/>
      <c r="AE13" s="30"/>
      <c r="AF13" s="30"/>
      <c r="AG13" s="30"/>
      <c r="AH13" s="30"/>
      <c r="AI13" s="96"/>
      <c r="AL13" s="18" t="s">
        <v>20</v>
      </c>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row>
    <row r="14" spans="1:70" x14ac:dyDescent="0.3">
      <c r="A14" s="18"/>
      <c r="B14" s="91"/>
      <c r="C14" s="172"/>
      <c r="D14" s="92"/>
      <c r="E14" s="171"/>
      <c r="F14" s="93"/>
      <c r="G14" s="171"/>
      <c r="H14" s="93"/>
      <c r="I14" s="171"/>
      <c r="J14" s="93"/>
      <c r="K14" s="171"/>
      <c r="L14" s="93"/>
      <c r="M14" s="179"/>
      <c r="N14" s="93"/>
      <c r="O14" s="93"/>
      <c r="P14" s="93"/>
      <c r="Q14" s="171"/>
      <c r="R14" s="94"/>
      <c r="T14" s="95"/>
      <c r="U14" s="30"/>
      <c r="V14" s="30"/>
      <c r="W14" s="30"/>
      <c r="X14" s="30"/>
      <c r="Y14" s="30"/>
      <c r="Z14" s="30"/>
      <c r="AA14" s="30"/>
      <c r="AB14" s="30"/>
      <c r="AC14" s="30"/>
      <c r="AD14" s="30"/>
      <c r="AE14" s="30"/>
      <c r="AF14" s="30"/>
      <c r="AG14" s="30"/>
      <c r="AH14" s="30"/>
      <c r="AI14" s="96"/>
      <c r="AK14" s="168" t="s">
        <v>24</v>
      </c>
      <c r="AL14" s="169" t="s">
        <v>7</v>
      </c>
      <c r="AM14" s="180" t="str">
        <f>AM5&amp;AM10</f>
        <v>AutorouteVrac</v>
      </c>
      <c r="AN14" s="180"/>
      <c r="AO14" s="180" t="str">
        <f t="shared" ref="AO14:AS14" si="0">AO5&amp;AO10</f>
        <v>Voie navigable VIbVrac</v>
      </c>
      <c r="AP14" s="180"/>
      <c r="AQ14" s="180" t="str">
        <f t="shared" si="0"/>
        <v>Voie navigable VaVrac</v>
      </c>
      <c r="AR14" s="180"/>
      <c r="AS14" s="180" t="str">
        <f t="shared" si="0"/>
        <v>Voie navigable VaVrac</v>
      </c>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row>
    <row r="15" spans="1:70" ht="15" customHeight="1" thickBot="1" x14ac:dyDescent="0.35">
      <c r="A15" s="18"/>
      <c r="B15" s="91"/>
      <c r="C15" s="178" t="s">
        <v>285</v>
      </c>
      <c r="D15" s="92"/>
      <c r="E15" s="86" t="s">
        <v>328</v>
      </c>
      <c r="F15" s="93"/>
      <c r="G15" s="86" t="s">
        <v>328</v>
      </c>
      <c r="H15" s="93"/>
      <c r="I15" s="86" t="s">
        <v>328</v>
      </c>
      <c r="J15" s="93"/>
      <c r="K15" s="86" t="s">
        <v>328</v>
      </c>
      <c r="L15" s="93"/>
      <c r="M15" s="87" t="s">
        <v>26</v>
      </c>
      <c r="N15" s="93"/>
      <c r="O15" s="93"/>
      <c r="P15" s="93"/>
      <c r="Q15" s="86" t="s">
        <v>26</v>
      </c>
      <c r="R15" s="94"/>
      <c r="T15" s="95"/>
      <c r="U15" s="30"/>
      <c r="V15" s="30"/>
      <c r="W15" s="30"/>
      <c r="X15" s="30"/>
      <c r="Y15" s="30"/>
      <c r="Z15" s="30"/>
      <c r="AA15" s="30"/>
      <c r="AB15" s="30"/>
      <c r="AC15" s="30"/>
      <c r="AD15" s="30"/>
      <c r="AE15" s="30"/>
      <c r="AF15" s="30"/>
      <c r="AG15" s="30"/>
      <c r="AH15" s="30"/>
      <c r="AI15" s="96"/>
      <c r="AK15" s="176" t="s">
        <v>27</v>
      </c>
      <c r="AL15" s="177" t="s">
        <v>7</v>
      </c>
      <c r="AM15" s="1" t="str">
        <f>E11</f>
        <v>Léger</v>
      </c>
      <c r="AN15" s="1"/>
      <c r="AO15" s="1" t="str">
        <f>G11</f>
        <v>Léger</v>
      </c>
      <c r="AP15" s="1"/>
      <c r="AQ15" s="1" t="str">
        <f>I11</f>
        <v>Moyen</v>
      </c>
      <c r="AR15" s="1"/>
      <c r="AS15" s="1" t="str">
        <f>K11</f>
        <v>Moyen</v>
      </c>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row>
    <row r="16" spans="1:70" ht="15" customHeight="1" x14ac:dyDescent="0.3">
      <c r="A16" s="18"/>
      <c r="B16" s="91"/>
      <c r="C16" s="170"/>
      <c r="D16" s="92"/>
      <c r="E16" s="171"/>
      <c r="F16" s="93"/>
      <c r="G16" s="171"/>
      <c r="H16" s="93"/>
      <c r="I16" s="171"/>
      <c r="J16" s="93"/>
      <c r="K16" s="171"/>
      <c r="L16" s="93"/>
      <c r="M16" s="92"/>
      <c r="N16" s="93"/>
      <c r="O16" s="93"/>
      <c r="P16" s="93"/>
      <c r="Q16" s="171"/>
      <c r="R16" s="94"/>
      <c r="T16" s="95"/>
      <c r="U16" s="30"/>
      <c r="V16" s="30"/>
      <c r="W16" s="30"/>
      <c r="X16" s="30"/>
      <c r="Y16" s="30"/>
      <c r="Z16" s="30"/>
      <c r="AA16" s="30"/>
      <c r="AB16" s="30"/>
      <c r="AC16" s="30"/>
      <c r="AD16" s="30"/>
      <c r="AE16" s="30"/>
      <c r="AF16" s="30"/>
      <c r="AG16" s="30"/>
      <c r="AH16" s="30"/>
      <c r="AI16" s="96"/>
      <c r="AL16" s="18" t="s">
        <v>28</v>
      </c>
      <c r="AM16" t="str" cm="1">
        <f t="array" ref="AM16:AM17">_xlfn._xlws.SORT(_xlfn.UNIQUE(_xlfn._xlws.FILTER(Tableau1[[Densité de chargement ]],Tableau1[Voie X Fret]=AM14)))</f>
        <v>Léger</v>
      </c>
      <c r="AO16" t="str" cm="1">
        <f t="array" ref="AO16:AO17">_xlfn._xlws.SORT(_xlfn.UNIQUE(_xlfn._xlws.FILTER(Tableau1[[Densité de chargement ]],Tableau1[Voie X Fret]=AO14)))</f>
        <v>Léger</v>
      </c>
      <c r="AQ16" t="str" cm="1">
        <f t="array" ref="AQ16:AQ17">_xlfn._xlws.SORT(_xlfn.UNIQUE(_xlfn._xlws.FILTER(Tableau1[[Densité de chargement ]],Tableau1[Voie X Fret]=AQ14)))</f>
        <v>Léger</v>
      </c>
      <c r="AS16" t="str" cm="1">
        <f t="array" ref="AS16:AS17">_xlfn._xlws.SORT(_xlfn.UNIQUE(_xlfn._xlws.FILTER(Tableau1[[Densité de chargement ]],Tableau1[Voie X Fret]=AS14)))</f>
        <v>Léger</v>
      </c>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row>
    <row r="17" spans="1:70" ht="15" thickBot="1" x14ac:dyDescent="0.35">
      <c r="A17" s="18"/>
      <c r="B17" s="91"/>
      <c r="C17" s="175" t="s">
        <v>29</v>
      </c>
      <c r="D17" s="92"/>
      <c r="E17" s="88">
        <v>100</v>
      </c>
      <c r="F17" s="93"/>
      <c r="G17" s="88">
        <v>100</v>
      </c>
      <c r="H17" s="93"/>
      <c r="I17" s="88">
        <v>100</v>
      </c>
      <c r="J17" s="93"/>
      <c r="K17" s="88">
        <v>100</v>
      </c>
      <c r="L17" s="93"/>
      <c r="M17" s="173" t="s">
        <v>300</v>
      </c>
      <c r="N17" s="93"/>
      <c r="O17" s="93"/>
      <c r="P17" s="93"/>
      <c r="Q17" s="174">
        <f>(E17+G17+I17+K17)*M18</f>
        <v>240</v>
      </c>
      <c r="R17" s="94"/>
      <c r="T17" s="95"/>
      <c r="U17" s="30"/>
      <c r="V17" s="30"/>
      <c r="W17" s="30"/>
      <c r="X17" s="30"/>
      <c r="Y17" s="30"/>
      <c r="Z17" s="30"/>
      <c r="AA17" s="30"/>
      <c r="AB17" s="30"/>
      <c r="AC17" s="30"/>
      <c r="AD17" s="30"/>
      <c r="AE17" s="30"/>
      <c r="AF17" s="30"/>
      <c r="AG17" s="30"/>
      <c r="AH17" s="30"/>
      <c r="AI17" s="96"/>
      <c r="AL17" s="18" t="s">
        <v>28</v>
      </c>
      <c r="AM17" t="str">
        <v>Moyen</v>
      </c>
      <c r="AO17" t="str">
        <v>Moyen</v>
      </c>
      <c r="AQ17" t="str">
        <v>Moyen</v>
      </c>
      <c r="AS17" t="str">
        <v>Moyen</v>
      </c>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row>
    <row r="18" spans="1:70" ht="15" thickBot="1" x14ac:dyDescent="0.35">
      <c r="A18" s="18"/>
      <c r="B18" s="91"/>
      <c r="C18" s="172"/>
      <c r="D18" s="92"/>
      <c r="E18" s="171"/>
      <c r="F18" s="93"/>
      <c r="G18" s="171"/>
      <c r="H18" s="93"/>
      <c r="I18" s="171"/>
      <c r="J18" s="93"/>
      <c r="K18" s="171"/>
      <c r="L18" s="93"/>
      <c r="M18" s="89">
        <v>0.6</v>
      </c>
      <c r="N18" s="93"/>
      <c r="O18" s="93"/>
      <c r="P18" s="93"/>
      <c r="Q18" s="171"/>
      <c r="R18" s="94"/>
      <c r="T18" s="95"/>
      <c r="U18" s="30"/>
      <c r="V18" s="30"/>
      <c r="W18" s="30"/>
      <c r="X18" s="30"/>
      <c r="Y18" s="30"/>
      <c r="Z18" s="30"/>
      <c r="AA18" s="30"/>
      <c r="AB18" s="30"/>
      <c r="AC18" s="30"/>
      <c r="AD18" s="30"/>
      <c r="AE18" s="30"/>
      <c r="AF18" s="30"/>
      <c r="AG18" s="30"/>
      <c r="AH18" s="30"/>
      <c r="AI18" s="96"/>
      <c r="AL18" s="18" t="s">
        <v>28</v>
      </c>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row>
    <row r="19" spans="1:70" ht="15" thickBot="1" x14ac:dyDescent="0.35">
      <c r="A19" s="18"/>
      <c r="B19" s="91"/>
      <c r="C19" s="170" t="s">
        <v>30</v>
      </c>
      <c r="D19" s="92"/>
      <c r="E19" s="90">
        <v>100</v>
      </c>
      <c r="F19" s="93"/>
      <c r="G19" s="90">
        <v>100</v>
      </c>
      <c r="H19" s="93"/>
      <c r="I19" s="90">
        <v>100</v>
      </c>
      <c r="J19" s="93"/>
      <c r="K19" s="90">
        <v>100</v>
      </c>
      <c r="L19" s="93"/>
      <c r="M19" s="92"/>
      <c r="N19" s="93"/>
      <c r="O19" s="93"/>
      <c r="P19" s="93"/>
      <c r="Q19" s="167">
        <f>E19</f>
        <v>100</v>
      </c>
      <c r="R19" s="94"/>
      <c r="T19" s="95"/>
      <c r="U19" s="30"/>
      <c r="V19" s="30"/>
      <c r="W19" s="30"/>
      <c r="X19" s="30"/>
      <c r="Y19" s="30"/>
      <c r="Z19" s="30"/>
      <c r="AA19" s="30"/>
      <c r="AB19" s="30"/>
      <c r="AC19" s="30"/>
      <c r="AD19" s="30"/>
      <c r="AE19" s="30"/>
      <c r="AF19" s="30"/>
      <c r="AG19" s="30"/>
      <c r="AH19" s="30"/>
      <c r="AI19" s="96"/>
      <c r="AK19" s="168" t="s">
        <v>31</v>
      </c>
      <c r="AL19" s="169" t="s">
        <v>7</v>
      </c>
      <c r="AM19" s="28" t="str">
        <f>AM14&amp;AM15</f>
        <v>AutorouteVracLéger</v>
      </c>
      <c r="AN19" s="28"/>
      <c r="AO19" s="28" t="str">
        <f t="shared" ref="AO19:AS19" si="1">AO14&amp;AO15</f>
        <v>Voie navigable VIbVracLéger</v>
      </c>
      <c r="AP19" s="28"/>
      <c r="AQ19" s="28" t="str">
        <f t="shared" si="1"/>
        <v>Voie navigable VaVracMoyen</v>
      </c>
      <c r="AR19" s="28"/>
      <c r="AS19" s="28" t="str">
        <f t="shared" si="1"/>
        <v>Voie navigable VaVracMoyen</v>
      </c>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row>
    <row r="20" spans="1:70" x14ac:dyDescent="0.3">
      <c r="A20" s="18"/>
      <c r="B20" s="91"/>
      <c r="C20" s="92"/>
      <c r="D20" s="92"/>
      <c r="E20" s="93"/>
      <c r="F20" s="93"/>
      <c r="G20" s="93"/>
      <c r="H20" s="93"/>
      <c r="I20" s="93"/>
      <c r="J20" s="93"/>
      <c r="K20" s="93"/>
      <c r="L20" s="93"/>
      <c r="M20" s="93"/>
      <c r="N20" s="93"/>
      <c r="O20" s="93"/>
      <c r="P20" s="93"/>
      <c r="Q20" s="93"/>
      <c r="R20" s="94"/>
      <c r="T20" s="95"/>
      <c r="U20" s="30"/>
      <c r="V20" s="30"/>
      <c r="W20" s="30"/>
      <c r="X20" s="30"/>
      <c r="Y20" s="30"/>
      <c r="Z20" s="30"/>
      <c r="AA20" s="30"/>
      <c r="AB20" s="30"/>
      <c r="AC20" s="30"/>
      <c r="AD20" s="30"/>
      <c r="AE20" s="30"/>
      <c r="AF20" s="30"/>
      <c r="AG20" s="30"/>
      <c r="AH20" s="30"/>
      <c r="AI20" s="96"/>
      <c r="AK20" s="97" t="s">
        <v>21</v>
      </c>
      <c r="AL20" s="98" t="s">
        <v>7</v>
      </c>
      <c r="AM20" s="1" t="str">
        <f>E13</f>
        <v>Utilitaire léger (&lt;3.5t)</v>
      </c>
      <c r="AN20" s="1"/>
      <c r="AO20" s="1" t="str">
        <f>G13</f>
        <v>Spits</v>
      </c>
      <c r="AP20" s="1"/>
      <c r="AQ20" s="1" t="str">
        <f>I13</f>
        <v>RHK (Rhine-Herne canal )</v>
      </c>
      <c r="AR20" s="1"/>
      <c r="AS20" s="1" t="str">
        <f>K13</f>
        <v>Spits</v>
      </c>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row>
    <row r="21" spans="1:70" ht="15" thickBot="1" x14ac:dyDescent="0.35">
      <c r="A21" s="18"/>
      <c r="B21" s="99"/>
      <c r="C21" s="100"/>
      <c r="D21" s="100"/>
      <c r="E21" s="101"/>
      <c r="F21" s="101"/>
      <c r="G21" s="101"/>
      <c r="H21" s="101"/>
      <c r="I21" s="101"/>
      <c r="J21" s="101"/>
      <c r="K21" s="101"/>
      <c r="L21" s="101"/>
      <c r="M21" s="101"/>
      <c r="N21" s="101"/>
      <c r="O21" s="101"/>
      <c r="P21" s="101"/>
      <c r="Q21" s="101"/>
      <c r="R21" s="102"/>
      <c r="T21" s="95"/>
      <c r="U21" s="30"/>
      <c r="V21" s="30"/>
      <c r="W21" s="30"/>
      <c r="X21" s="30"/>
      <c r="Y21" s="30"/>
      <c r="Z21" s="30"/>
      <c r="AA21" s="30"/>
      <c r="AB21" s="30"/>
      <c r="AC21" s="30"/>
      <c r="AD21" s="30"/>
      <c r="AE21" s="30"/>
      <c r="AF21" s="30"/>
      <c r="AG21" s="30"/>
      <c r="AH21" s="30"/>
      <c r="AI21" s="96"/>
      <c r="AK21" s="103"/>
      <c r="AL21" s="98"/>
      <c r="AM21" s="1"/>
      <c r="AN21" s="1"/>
      <c r="AO21" s="1"/>
      <c r="AP21" s="1"/>
      <c r="AQ21" s="1"/>
      <c r="AR21" s="1"/>
      <c r="AS21" s="1"/>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row>
    <row r="22" spans="1:70" ht="15" thickBot="1" x14ac:dyDescent="0.35">
      <c r="A22" s="18"/>
      <c r="E22" s="2"/>
      <c r="F22" s="2"/>
      <c r="G22" s="2"/>
      <c r="H22" s="2"/>
      <c r="I22" s="2"/>
      <c r="J22" s="2"/>
      <c r="K22" s="2"/>
      <c r="L22" s="2"/>
      <c r="M22" s="2"/>
      <c r="N22" s="2"/>
      <c r="O22" s="2"/>
      <c r="P22" s="2"/>
      <c r="Q22" s="2"/>
      <c r="T22" s="95"/>
      <c r="U22" s="30"/>
      <c r="V22" s="30"/>
      <c r="W22" s="30"/>
      <c r="X22" s="30"/>
      <c r="Y22" s="30"/>
      <c r="Z22" s="30"/>
      <c r="AA22" s="30"/>
      <c r="AB22" s="30"/>
      <c r="AC22" s="30"/>
      <c r="AD22" s="30"/>
      <c r="AE22" s="30"/>
      <c r="AF22" s="30"/>
      <c r="AG22" s="30"/>
      <c r="AH22" s="30"/>
      <c r="AI22" s="96"/>
      <c r="AK22" s="104"/>
      <c r="AL22" s="105"/>
      <c r="AM22" s="1"/>
      <c r="AN22" s="1"/>
      <c r="AO22" s="1"/>
      <c r="AP22" s="1"/>
      <c r="AQ22" s="1"/>
      <c r="AR22" s="1"/>
      <c r="AS22" s="1"/>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row>
    <row r="23" spans="1:70" ht="30" customHeight="1" x14ac:dyDescent="0.3">
      <c r="A23" s="18"/>
      <c r="B23" s="252" t="s">
        <v>324</v>
      </c>
      <c r="C23" s="253"/>
      <c r="D23" s="253"/>
      <c r="E23" s="253"/>
      <c r="F23" s="253"/>
      <c r="G23" s="253"/>
      <c r="H23" s="253"/>
      <c r="I23" s="253"/>
      <c r="J23" s="253"/>
      <c r="K23" s="253"/>
      <c r="L23" s="253"/>
      <c r="M23" s="253"/>
      <c r="N23" s="253"/>
      <c r="O23" s="253"/>
      <c r="P23" s="253"/>
      <c r="Q23" s="253"/>
      <c r="R23" s="254"/>
      <c r="T23" s="95"/>
      <c r="U23" s="30"/>
      <c r="V23" s="30"/>
      <c r="W23" s="30"/>
      <c r="X23" s="30"/>
      <c r="Y23" s="30"/>
      <c r="Z23" s="30"/>
      <c r="AA23" s="30"/>
      <c r="AB23" s="30"/>
      <c r="AC23" s="30"/>
      <c r="AD23" s="30"/>
      <c r="AE23" s="30"/>
      <c r="AF23" s="30"/>
      <c r="AG23" s="30"/>
      <c r="AH23" s="30"/>
      <c r="AI23" s="96"/>
      <c r="AK23" s="104"/>
      <c r="AL23" s="105"/>
      <c r="AM23" s="1"/>
      <c r="AN23" s="1"/>
      <c r="AO23" s="1"/>
      <c r="AP23" s="1"/>
      <c r="AQ23" s="1"/>
      <c r="AR23" s="1"/>
      <c r="AS23" s="1"/>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row>
    <row r="24" spans="1:70" ht="15" customHeight="1" x14ac:dyDescent="0.3">
      <c r="A24" s="18"/>
      <c r="B24" s="109"/>
      <c r="C24" s="110"/>
      <c r="D24" s="110"/>
      <c r="E24" s="110"/>
      <c r="F24" s="110"/>
      <c r="G24" s="110"/>
      <c r="H24" s="110"/>
      <c r="I24" s="110"/>
      <c r="J24" s="110"/>
      <c r="K24" s="110"/>
      <c r="L24" s="110"/>
      <c r="M24" s="110"/>
      <c r="N24" s="110"/>
      <c r="O24" s="110"/>
      <c r="P24" s="110"/>
      <c r="Q24" s="110"/>
      <c r="R24" s="111"/>
      <c r="T24" s="95"/>
      <c r="U24" s="30"/>
      <c r="V24" s="30"/>
      <c r="W24" s="30"/>
      <c r="X24" s="30"/>
      <c r="Y24" s="30"/>
      <c r="Z24" s="30"/>
      <c r="AA24" s="30"/>
      <c r="AB24" s="30"/>
      <c r="AC24" s="30"/>
      <c r="AD24" s="30"/>
      <c r="AE24" s="30"/>
      <c r="AF24" s="30"/>
      <c r="AG24" s="30"/>
      <c r="AH24" s="30"/>
      <c r="AI24" s="96"/>
      <c r="AK24" s="104"/>
      <c r="AL24" s="105"/>
      <c r="AM24" s="1"/>
      <c r="AN24" s="1"/>
      <c r="AO24" s="1"/>
      <c r="AP24" s="1"/>
      <c r="AQ24" s="1"/>
      <c r="AR24" s="1"/>
      <c r="AS24" s="1"/>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row>
    <row r="25" spans="1:70" x14ac:dyDescent="0.3">
      <c r="A25" s="112"/>
      <c r="B25" s="113"/>
      <c r="C25" s="114" t="s">
        <v>32</v>
      </c>
      <c r="D25" s="115"/>
      <c r="E25" s="116">
        <f>E19*E17</f>
        <v>10000</v>
      </c>
      <c r="F25" s="117"/>
      <c r="G25" s="116">
        <f>G19*G17</f>
        <v>10000</v>
      </c>
      <c r="H25" s="117"/>
      <c r="I25" s="116">
        <f>I19*I17</f>
        <v>10000</v>
      </c>
      <c r="J25" s="117"/>
      <c r="K25" s="116">
        <f>K19*K17</f>
        <v>10000</v>
      </c>
      <c r="L25" s="117"/>
      <c r="M25" s="118"/>
      <c r="N25" s="117"/>
      <c r="O25" s="119" t="s">
        <v>299</v>
      </c>
      <c r="P25" s="117"/>
      <c r="Q25" s="116">
        <f>Q19*Q17</f>
        <v>24000</v>
      </c>
      <c r="R25" s="120"/>
      <c r="T25" s="95"/>
      <c r="U25" s="30"/>
      <c r="V25" s="30"/>
      <c r="W25" s="30"/>
      <c r="X25" s="30"/>
      <c r="Y25" s="30"/>
      <c r="Z25" s="30"/>
      <c r="AA25" s="30"/>
      <c r="AB25" s="30"/>
      <c r="AC25" s="30"/>
      <c r="AD25" s="30"/>
      <c r="AE25" s="30"/>
      <c r="AF25" s="30"/>
      <c r="AG25" s="30"/>
      <c r="AH25" s="30"/>
      <c r="AI25" s="96"/>
      <c r="AL25" s="18" t="s">
        <v>33</v>
      </c>
      <c r="AM25" t="str" cm="1">
        <f t="array" ref="AM25:AM33">_xlfn._xlws.SORT(_xlfn.UNIQUE(_xlfn._xlws.FILTER(Tableau1[Type de véhicule],Tableau1[Voie X Fret X densité]=AM19)))</f>
        <v>Camion remorque &gt;20 t</v>
      </c>
      <c r="AO25" t="str" cm="1">
        <f t="array" ref="AO25:AO31">_xlfn._xlws.SORT(_xlfn.UNIQUE(_xlfn._xlws.FILTER(Tableau1[Type de véhicule],Tableau1[Voie X Fret X densité]=AO19)))</f>
        <v>Campinois</v>
      </c>
      <c r="AQ25" t="str" cm="1">
        <f t="array" ref="AQ25:AQ31">_xlfn._xlws.SORT(_xlfn.UNIQUE(_xlfn._xlws.FILTER(Tableau1[Type de véhicule],Tableau1[Voie X Fret X densité]=AQ19)))</f>
        <v>Campinois</v>
      </c>
      <c r="AS25" t="str" cm="1">
        <f t="array" ref="AS25:AS31">_xlfn._xlws.SORT(_xlfn.UNIQUE(_xlfn._xlws.FILTER(Tableau1[Type de véhicule],Tableau1[Voie X Fret X densité]=AS19)))</f>
        <v>Campinois</v>
      </c>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row>
    <row r="26" spans="1:70" x14ac:dyDescent="0.3">
      <c r="A26" s="112"/>
      <c r="B26" s="113"/>
      <c r="C26" s="114"/>
      <c r="D26" s="115"/>
      <c r="E26" s="118"/>
      <c r="F26" s="118"/>
      <c r="G26" s="118"/>
      <c r="H26" s="118"/>
      <c r="I26" s="118"/>
      <c r="J26" s="118"/>
      <c r="K26" s="118"/>
      <c r="L26" s="118"/>
      <c r="M26" s="118"/>
      <c r="N26" s="118"/>
      <c r="O26" s="122"/>
      <c r="P26" s="118"/>
      <c r="Q26" s="118"/>
      <c r="R26" s="123"/>
      <c r="T26" s="95"/>
      <c r="U26" s="30"/>
      <c r="V26" s="30"/>
      <c r="W26" s="30"/>
      <c r="X26" s="30"/>
      <c r="Y26" s="30"/>
      <c r="Z26" s="30"/>
      <c r="AA26" s="30"/>
      <c r="AB26" s="30"/>
      <c r="AC26" s="30"/>
      <c r="AD26" s="30"/>
      <c r="AE26" s="30"/>
      <c r="AF26" s="30"/>
      <c r="AG26" s="30"/>
      <c r="AH26" s="30"/>
      <c r="AI26" s="96"/>
      <c r="AL26" s="18" t="s">
        <v>33</v>
      </c>
      <c r="AM26" t="str">
        <v>Camion remorque 10-20 t</v>
      </c>
      <c r="AO26" t="str">
        <v>Convoi poussé</v>
      </c>
      <c r="AQ26" t="str">
        <v>Convoi poussé</v>
      </c>
      <c r="AS26" t="str">
        <v>Convoi poussé</v>
      </c>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row>
    <row r="27" spans="1:70" x14ac:dyDescent="0.3">
      <c r="A27" s="112"/>
      <c r="B27" s="124" t="str">
        <f>'Emissions transports'!K1&amp;"(kg)"</f>
        <v>CO2-eq. (kg)</v>
      </c>
      <c r="C27" s="125" t="s">
        <v>34</v>
      </c>
      <c r="D27" s="122"/>
      <c r="E27" s="126">
        <f>(((SUMIFS(Tableau1[CO2-eq. ],Tableau1[[mode de transport ]],E$5,Tableau1[Voie de transport],E$7,Tableau1[Type de chargement],E$9,Tableau1[[Densité de chargement ]],E$11,Tableau1[Type de véhicule],E$13,Tableau1[Type emissions],$C$27))*E$25/1000)*((SUMIFS(Tableau7[CO2-eq. ],Tableau7[[Type de transport ]],E$5,Tableau7[Carburant],E$15,Tableau7[Type emissions],'Calculateur - trajet'!$C$27))))</f>
        <v>10784</v>
      </c>
      <c r="F27" s="127"/>
      <c r="G27" s="126">
        <f>((SUMIFS(Tableau1[CO2-eq. ],Tableau1[[mode de transport ]],G$5,Tableau1[Voie de transport],G$7,Tableau1[Type de chargement],G$9,Tableau1[[Densité de chargement ]],G$11,Tableau1[Type de véhicule],G$13,Tableau1[Type emissions],$C$27))*G25/1000)*((SUMIFS(Tableau7[CO2-eq. ],Tableau7[[Type de transport ]],G$5,Tableau7[Carburant],G$15,Tableau7[Type emissions],'Calculateur - trajet'!$C$27)))</f>
        <v>321.39999999999998</v>
      </c>
      <c r="H27" s="127"/>
      <c r="I27" s="126">
        <f>((SUMIFS(Tableau1[CO2-eq. ],Tableau1[[mode de transport ]],I$5,Tableau1[Voie de transport],I$7,Tableau1[Type de chargement],I$9,Tableau1[[Densité de chargement ]],I$11,Tableau1[Type de véhicule],I$13,Tableau1[Type emissions],$C$27))*I25/1000)*((SUMIFS(Tableau7[CO2-eq. ],Tableau7[[Type de transport ]],I$5,Tableau7[Carburant],I$15,Tableau7[Type emissions],'Calculateur - trajet'!$C$27)))</f>
        <v>193.6</v>
      </c>
      <c r="J27" s="127"/>
      <c r="K27" s="126">
        <f>((SUMIFS(Tableau1[CO2-eq. ],Tableau1[[mode de transport ]],K$5,Tableau1[Voie de transport],K$7,Tableau1[Type de chargement],K$9,Tableau1[[Densité de chargement ]],K$11,Tableau1[Type de véhicule],K$13,Tableau1[Type emissions],$C$27))*K25/1000)*((SUMIFS(Tableau7[CO2-eq. ],Tableau7[[Type de transport ]],K$5,Tableau7[Carburant],K$15,Tableau7[Type emissions],'Calculateur - trajet'!$C$27)))</f>
        <v>222.7</v>
      </c>
      <c r="L27" s="128"/>
      <c r="M27" s="118"/>
      <c r="N27" s="128"/>
      <c r="O27" s="129">
        <f>SUM(E27,G27,I27,K27,M29)</f>
        <v>11622.970000000001</v>
      </c>
      <c r="P27" s="127"/>
      <c r="Q27" s="126">
        <f>((SUMIFS(Tableau1[CO2-eq. ],Tableau1[[mode de transport ]],Q$5,Tableau1[Voie de transport],Q$7,Tableau1[Type de chargement],Q$9,Tableau1[[Densité de chargement ]],Q$11,Tableau1[Type de véhicule],Q$13,Tableau1[Type emissions],$C$27))*Q25/1000)*((SUMIFS(Tableau7[CO2-eq. ],Tableau7[[Type de transport ]],Q$5,Tableau7[Carburant],Q$15,Tableau7[Type emissions],'Calculateur - trajet'!$C$27)))</f>
        <v>0</v>
      </c>
      <c r="R27" s="130"/>
      <c r="T27" s="95"/>
      <c r="U27" s="30"/>
      <c r="V27" s="30"/>
      <c r="W27" s="30"/>
      <c r="X27" s="30"/>
      <c r="Y27" s="30"/>
      <c r="Z27" s="30"/>
      <c r="AA27" s="30"/>
      <c r="AB27" s="30"/>
      <c r="AC27" s="30"/>
      <c r="AD27" s="30"/>
      <c r="AE27" s="30"/>
      <c r="AF27" s="30"/>
      <c r="AG27" s="30"/>
      <c r="AH27" s="30"/>
      <c r="AI27" s="96"/>
      <c r="AL27" s="18" t="s">
        <v>33</v>
      </c>
      <c r="AM27" t="str">
        <v xml:space="preserve">Eco-combi </v>
      </c>
      <c r="AO27" t="str">
        <v>DEK (Dortmund-Ems-Kanal)</v>
      </c>
      <c r="AQ27" t="str">
        <v>DEK (Dortmund-Ems-Kanal)</v>
      </c>
      <c r="AS27" t="str">
        <v>DEK (Dortmund-Ems-Kanal)</v>
      </c>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row>
    <row r="28" spans="1:70" x14ac:dyDescent="0.3">
      <c r="A28" s="112"/>
      <c r="B28" s="124"/>
      <c r="C28" s="125" t="s">
        <v>35</v>
      </c>
      <c r="D28" s="122"/>
      <c r="E28" s="126">
        <f>(SUMIFS(Tableau1[CO2-eq. ],Tableau1[[mode de transport ]],E$5,Tableau1[Voie de transport],E$7,Tableau1[Type de chargement],E$9,Tableau1[[Densité de chargement ]],E$11,Tableau1[Type de véhicule],E$13,Tableau1[Type emissions],$C$28))*E$25/1000*((SUMIFS(Tableau7[CO2-eq. ],Tableau7[[Type de transport ]],E$5,Tableau7[Carburant],E$15,Tableau7[Type emissions],'Calculateur - trajet'!$C$28)))</f>
        <v>3445.9999999999991</v>
      </c>
      <c r="F28" s="127"/>
      <c r="G28" s="126">
        <f>(SUMIFS(Tableau1[CO2-eq. ],Tableau1[[mode de transport ]],G$5,Tableau1[Voie de transport],G$7,Tableau1[Type de chargement],G$9,Tableau1[[Densité de chargement ]],G$11,Tableau1[Type de véhicule],G$13,Tableau1[Type emissions],$C$28))*G25/1000*((SUMIFS(Tableau7[CO2-eq. ],Tableau7[[Type de transport ]],G$5,Tableau7[Carburant],G$15,Tableau7[Type emissions],'Calculateur - trajet'!$C$28)))</f>
        <v>102.19999999999999</v>
      </c>
      <c r="H28" s="127"/>
      <c r="I28" s="126">
        <f>(SUMIFS(Tableau1[CO2-eq. ],Tableau1[[mode de transport ]],I$5,Tableau1[Voie de transport],I$7,Tableau1[Type de chargement],I$9,Tableau1[[Densité de chargement ]],I$11,Tableau1[Type de véhicule],I$13,Tableau1[Type emissions],$C$28))*I25/1000*((SUMIFS(Tableau7[CO2-eq. ],Tableau7[[Type de transport ]],I$5,Tableau7[Carburant],I$15,Tableau7[Type emissions],'Calculateur - trajet'!$C$28)))</f>
        <v>61.500000000000021</v>
      </c>
      <c r="J28" s="127"/>
      <c r="K28" s="126">
        <f>(SUMIFS(Tableau1[CO2-eq. ],Tableau1[[mode de transport ]],K$5,Tableau1[Voie de transport],K$7,Tableau1[Type de chargement],K$9,Tableau1[[Densité de chargement ]],K$11,Tableau1[Type de véhicule],K$13,Tableau1[Type emissions],$C$28))*K25/1000*((SUMIFS(Tableau7[CO2-eq. ],Tableau7[[Type de transport ]],K$5,Tableau7[Carburant],K$15,Tableau7[Type emissions],'Calculateur - trajet'!$C$28)))</f>
        <v>70.800000000000011</v>
      </c>
      <c r="L28" s="128"/>
      <c r="M28" s="118"/>
      <c r="N28" s="128"/>
      <c r="O28" s="129">
        <f>SUM(E28,G28,I28,K28,M28)</f>
        <v>3680.4999999999991</v>
      </c>
      <c r="P28" s="127"/>
      <c r="Q28" s="126">
        <f>(SUMIFS(Tableau1[CO2-eq. ],Tableau1[[mode de transport ]],Q$5,Tableau1[Voie de transport],Q$7,Tableau1[Type de chargement],Q$9,Tableau1[[Densité de chargement ]],Q$11,Tableau1[Type de véhicule],Q$13,Tableau1[Type emissions],$C$28))*Q25/1000*((SUMIFS(Tableau7[CO2-eq. ],Tableau7[[Type de transport ]],Q$5,Tableau7[Carburant],Q$15,Tableau7[Type emissions],'Calculateur - trajet'!$C$28)))</f>
        <v>0</v>
      </c>
      <c r="R28" s="130"/>
      <c r="T28" s="95"/>
      <c r="U28" s="30"/>
      <c r="V28" s="30"/>
      <c r="W28" s="30"/>
      <c r="X28" s="30"/>
      <c r="Y28" s="30"/>
      <c r="Z28" s="30"/>
      <c r="AA28" s="30"/>
      <c r="AB28" s="30"/>
      <c r="AC28" s="30"/>
      <c r="AD28" s="30"/>
      <c r="AE28" s="30"/>
      <c r="AF28" s="30"/>
      <c r="AG28" s="30"/>
      <c r="AH28" s="30"/>
      <c r="AI28" s="96"/>
      <c r="AL28" s="18" t="s">
        <v>33</v>
      </c>
      <c r="AM28" t="str">
        <v>Monobloc  &lt;10 t</v>
      </c>
      <c r="AO28" t="str">
        <v xml:space="preserve">Grand Rhénan </v>
      </c>
      <c r="AQ28" t="str">
        <v xml:space="preserve">Grand Rhénan </v>
      </c>
      <c r="AS28" t="str">
        <v xml:space="preserve">Grand Rhénan </v>
      </c>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row>
    <row r="29" spans="1:70" x14ac:dyDescent="0.3">
      <c r="A29" s="112"/>
      <c r="B29" s="131"/>
      <c r="C29" s="125" t="s">
        <v>286</v>
      </c>
      <c r="D29" s="122"/>
      <c r="E29" s="127"/>
      <c r="F29" s="132" cm="1">
        <f t="array" ref="F29">_xlfn.IFS(E5&lt;&gt;G5,(E19*SUMIFS(Tableau10[CO2-eq. ],Tableau10[Type de chargement],'Calculateur - trajet'!E9,Tableau10[[Carburant ]],M15)/1000),E5=G5,0)</f>
        <v>101.27</v>
      </c>
      <c r="G29" s="127"/>
      <c r="H29" s="132" cm="1">
        <f t="array" ref="H29">_xlfn.IFS(G5&lt;&gt;I5,(G19*SUMIFS(Tableau10[CO2-eq. ],Tableau10[Type de chargement],'Calculateur - trajet'!G9,Tableau10[[Carburant ]],M15)/1000),I5=G5,0)</f>
        <v>0</v>
      </c>
      <c r="I29" s="127"/>
      <c r="J29" s="132" cm="1">
        <f t="array" ref="J29">_xlfn.IFS(I5&lt;&gt;K5,(I19*SUMIFS(Tableau10[CO2-eq. ],Tableau10[Type de chargement],'Calculateur - trajet'!I9,Tableau10[[Carburant ]],M15)/1000),I5=K5,0)</f>
        <v>0</v>
      </c>
      <c r="K29" s="127"/>
      <c r="L29" s="127"/>
      <c r="M29" s="133">
        <f>SUM(F29,H29,J29)</f>
        <v>101.27</v>
      </c>
      <c r="N29" s="127"/>
      <c r="O29" s="129">
        <f>M29</f>
        <v>101.27</v>
      </c>
      <c r="P29" s="122"/>
      <c r="Q29" s="126">
        <v>0</v>
      </c>
      <c r="R29" s="130"/>
      <c r="T29" s="95"/>
      <c r="U29" s="30"/>
      <c r="V29" s="30"/>
      <c r="W29" s="30"/>
      <c r="X29" s="30"/>
      <c r="Y29" s="30"/>
      <c r="Z29" s="30"/>
      <c r="AA29" s="30"/>
      <c r="AB29" s="30"/>
      <c r="AC29" s="30"/>
      <c r="AD29" s="30"/>
      <c r="AE29" s="30"/>
      <c r="AF29" s="30"/>
      <c r="AG29" s="30"/>
      <c r="AH29" s="30"/>
      <c r="AI29" s="96"/>
      <c r="AL29" s="18" t="s">
        <v>33</v>
      </c>
      <c r="AM29" t="str">
        <v xml:space="preserve">Monobloc &gt;20 t </v>
      </c>
      <c r="AO29" t="str">
        <v>Petit Rhénan</v>
      </c>
      <c r="AQ29" t="str">
        <v>Petit Rhénan</v>
      </c>
      <c r="AS29" t="str">
        <v>Petit Rhénan</v>
      </c>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row>
    <row r="30" spans="1:70" x14ac:dyDescent="0.3">
      <c r="A30" s="112"/>
      <c r="B30" s="131"/>
      <c r="C30" s="127"/>
      <c r="D30" s="122"/>
      <c r="E30" s="127"/>
      <c r="F30" s="122"/>
      <c r="G30" s="127"/>
      <c r="H30" s="122"/>
      <c r="I30" s="127"/>
      <c r="J30" s="122"/>
      <c r="K30" s="127"/>
      <c r="L30" s="127"/>
      <c r="M30" s="127"/>
      <c r="N30" s="127"/>
      <c r="O30" s="134"/>
      <c r="P30" s="122"/>
      <c r="Q30" s="127"/>
      <c r="R30" s="130"/>
      <c r="T30" s="95"/>
      <c r="U30" s="30"/>
      <c r="V30" s="30"/>
      <c r="W30" s="30"/>
      <c r="X30" s="30"/>
      <c r="Y30" s="30"/>
      <c r="Z30" s="30"/>
      <c r="AA30" s="30"/>
      <c r="AB30" s="30"/>
      <c r="AC30" s="30"/>
      <c r="AD30" s="30"/>
      <c r="AE30" s="30"/>
      <c r="AF30" s="30"/>
      <c r="AG30" s="30"/>
      <c r="AH30" s="30"/>
      <c r="AI30" s="96"/>
      <c r="AL30" s="18" t="s">
        <v>33</v>
      </c>
      <c r="AM30" t="str">
        <v xml:space="preserve">Monobloc 10-20 t </v>
      </c>
      <c r="AO30" t="str">
        <v>RHK (Rhine-Herne canal )</v>
      </c>
      <c r="AQ30" t="str">
        <v>RHK (Rhine-Herne canal )</v>
      </c>
      <c r="AS30" t="str">
        <v>RHK (Rhine-Herne canal )</v>
      </c>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row>
    <row r="31" spans="1:70" x14ac:dyDescent="0.3">
      <c r="A31" s="112"/>
      <c r="B31" s="135" t="str">
        <f>'Emissions transports'!L1&amp;"(g)"</f>
        <v>SO2 (g)</v>
      </c>
      <c r="C31" s="136" t="s">
        <v>34</v>
      </c>
      <c r="D31" s="137"/>
      <c r="E31" s="133">
        <f>((SUMIFS(Tableau1[[SO2 ]],Tableau1[[mode de transport ]],E$5,Tableau1[Voie de transport],E$7,Tableau1[Type de chargement],E$9,Tableau1[[Densité de chargement ]],E$11,Tableau1[Type de véhicule],E$13,Tableau1[Type emissions],$C$27))*E25)</f>
        <v>65</v>
      </c>
      <c r="F31" s="138"/>
      <c r="G31" s="133">
        <f>((SUMIFS(Tableau1[[SO2 ]],Tableau1[[mode de transport ]],G$5,Tableau1[Voie de transport],G$7,Tableau1[Type de chargement],G$9,Tableau1[[Densité de chargement ]],G$11,Tableau1[Type de véhicule],G$13,Tableau1[Type emissions],C27))*G25)</f>
        <v>1.9000000000000001</v>
      </c>
      <c r="H31" s="138"/>
      <c r="I31" s="133">
        <f>((SUMIFS(Tableau1[[SO2 ]],Tableau1[[mode de transport ]],I$5,Tableau1[Voie de transport],I$7,Tableau1[Type de chargement],I$9,Tableau1[[Densité de chargement ]],I$11,Tableau1[Type de véhicule],I$13,Tableau1[Type emissions],C27))*I25)</f>
        <v>1.2</v>
      </c>
      <c r="J31" s="138"/>
      <c r="K31" s="133">
        <f>((SUMIFS(Tableau1[[SO2 ]],Tableau1[[mode de transport ]],K$5,Tableau1[Voie de transport],K$7,Tableau1[Type de chargement],K$9,Tableau1[[Densité de chargement ]],K$11,Tableau1[Type de véhicule],K$13,Tableau1[Type emissions],C27))*K25)</f>
        <v>1.2999999999999998</v>
      </c>
      <c r="L31" s="138"/>
      <c r="M31" s="138"/>
      <c r="N31" s="138"/>
      <c r="O31" s="139">
        <f>SUM(E31,G31,I31,K31,M31)</f>
        <v>69.400000000000006</v>
      </c>
      <c r="P31" s="138"/>
      <c r="Q31" s="133">
        <f>((SUMIFS(Tableau1[[SO2 ]],Tableau1[[mode de transport ]],Q$5,Tableau1[Voie de transport],Q$7,Tableau1[Type de chargement],Q$9,Tableau1[[Densité de chargement ]],Q$11,Tableau1[Type de véhicule],Q$13,Tableau1[Type emissions],C27))*Q25)</f>
        <v>7.1999999999999993</v>
      </c>
      <c r="R31" s="140"/>
      <c r="T31" s="95"/>
      <c r="U31" s="30"/>
      <c r="V31" s="30"/>
      <c r="W31" s="30"/>
      <c r="X31" s="30"/>
      <c r="Y31" s="30"/>
      <c r="Z31" s="30"/>
      <c r="AA31" s="30"/>
      <c r="AB31" s="30"/>
      <c r="AC31" s="30"/>
      <c r="AD31" s="30"/>
      <c r="AE31" s="30"/>
      <c r="AF31" s="30"/>
      <c r="AG31" s="30"/>
      <c r="AH31" s="30"/>
      <c r="AI31" s="96"/>
      <c r="AL31" s="18" t="s">
        <v>33</v>
      </c>
      <c r="AM31" t="str">
        <v xml:space="preserve">Semi-remorque, leger   </v>
      </c>
      <c r="AO31" t="str">
        <v>Spits</v>
      </c>
      <c r="AQ31" t="str">
        <v>Spits</v>
      </c>
      <c r="AS31" t="str">
        <v>Spits</v>
      </c>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row>
    <row r="32" spans="1:70" x14ac:dyDescent="0.3">
      <c r="A32" s="112"/>
      <c r="B32" s="135"/>
      <c r="C32" s="136" t="s">
        <v>35</v>
      </c>
      <c r="D32" s="137"/>
      <c r="E32" s="133">
        <f>((SUMIFS(Tableau1[[SO2 ]],Tableau1[[mode de transport ]],E$5,Tableau1[Voie de transport],E$7,Tableau1[Type de chargement],E$9,Tableau1[[Densité de chargement ]],E$11,Tableau1[Type de véhicule],E$13,Tableau1[Type emissions],$C$28))*E25)</f>
        <v>14739935</v>
      </c>
      <c r="F32" s="138"/>
      <c r="G32" s="133">
        <f>((SUMIFS(Tableau1[[SO2 ]],Tableau1[[mode de transport ]],G$5,Tableau1[Voie de transport],G$7,Tableau1[Type de chargement],G$9,Tableau1[[Densité de chargement ]],G$11,Tableau1[Type de véhicule],G$13,Tableau1[Type emissions],C28))*G25)</f>
        <v>438.09999999999997</v>
      </c>
      <c r="H32" s="138"/>
      <c r="I32" s="133">
        <f>((SUMIFS(Tableau1[[SO2 ]],Tableau1[[mode de transport ]],I$5,Tableau1[Voie de transport],I$7,Tableau1[Type de chargement],I$9,Tableau1[[Densité de chargement ]],I$11,Tableau1[Type de véhicule],I$13,Tableau1[Type emissions],C28))*I25)</f>
        <v>258.8</v>
      </c>
      <c r="J32" s="138"/>
      <c r="K32" s="133">
        <f>((SUMIFS(Tableau1[[SO2 ]],Tableau1[[mode de transport ]],K$5,Tableau1[Voie de transport],K$7,Tableau1[Type de chargement],K$9,Tableau1[[Densité de chargement ]],K$11,Tableau1[Type de véhicule],K$13,Tableau1[Type emissions],C28))*K25)</f>
        <v>298.7</v>
      </c>
      <c r="L32" s="138"/>
      <c r="M32" s="138"/>
      <c r="N32" s="138"/>
      <c r="O32" s="139">
        <f>SUM(E32,G32,I32,K32,M32)</f>
        <v>14740930.6</v>
      </c>
      <c r="P32" s="138"/>
      <c r="Q32" s="133">
        <f>((SUMIFS(Tableau1[[SO2 ]],Tableau1[[mode de transport ]],Q$5,Tableau1[Voie de transport],Q$7,Tableau1[Type de chargement],Q$9,Tableau1[[Densité de chargement ]],Q$11,Tableau1[Type de véhicule],Q$13,Tableau1[Type emissions],C28))*Q25)</f>
        <v>1840.8000000000002</v>
      </c>
      <c r="R32" s="140"/>
      <c r="T32" s="95"/>
      <c r="U32" s="30"/>
      <c r="V32" s="30"/>
      <c r="W32" s="30"/>
      <c r="X32" s="30"/>
      <c r="Y32" s="30"/>
      <c r="Z32" s="30"/>
      <c r="AA32" s="30"/>
      <c r="AB32" s="30"/>
      <c r="AC32" s="30"/>
      <c r="AD32" s="30"/>
      <c r="AE32" s="30"/>
      <c r="AF32" s="30"/>
      <c r="AG32" s="30"/>
      <c r="AH32" s="30"/>
      <c r="AI32" s="96"/>
      <c r="AL32" s="18" t="s">
        <v>33</v>
      </c>
      <c r="AM32" t="str">
        <v xml:space="preserve">Semi-remorque, lourd  </v>
      </c>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row>
    <row r="33" spans="1:70" x14ac:dyDescent="0.3">
      <c r="A33" s="112"/>
      <c r="B33" s="135"/>
      <c r="C33" s="136" t="s">
        <v>286</v>
      </c>
      <c r="D33" s="137"/>
      <c r="E33" s="138"/>
      <c r="F33" s="141" cm="1">
        <f t="array" ref="F33">_xlfn.IFS(E5&lt;&gt;G5,(E19*SUMIFS(Tableau10[[SO2 ]],Tableau10[Type de chargement],'Calculateur - trajet'!E9,Tableau10[[Carburant ]],M15)),E5=G5,0)</f>
        <v>0.65</v>
      </c>
      <c r="G33" s="138"/>
      <c r="H33" s="141" cm="1">
        <f t="array" ref="H33">_xlfn.IFS(G5&lt;&gt;I5,(G19*SUMIFS(Tableau10[[SO2 ]],Tableau10[Type de chargement],'Calculateur - trajet'!G9,Tableau10[[Carburant ]],M15)),I5=G5,0)</f>
        <v>0</v>
      </c>
      <c r="I33" s="138"/>
      <c r="J33" s="141" cm="1">
        <f t="array" ref="J33">_xlfn.IFS(I5&lt;&gt;K5,(I19*SUMIFS(Tableau10[[SO2 ]],Tableau10[Type de chargement],'Calculateur - trajet'!I9,Tableau10[[Carburant ]],M15)),K5=I5,0)</f>
        <v>0</v>
      </c>
      <c r="K33" s="138"/>
      <c r="L33" s="138"/>
      <c r="M33" s="133">
        <f>SUM(F33,H33,J33)</f>
        <v>0.65</v>
      </c>
      <c r="N33" s="138"/>
      <c r="O33" s="139">
        <f>M33</f>
        <v>0.65</v>
      </c>
      <c r="P33" s="138"/>
      <c r="Q33" s="133">
        <f>((SUMIFS(Tableau1[[SO2 ]],Tableau1[[mode de transport ]],Q$5,Tableau1[Voie de transport],Q$7,Tableau1[Type de chargement],Q$9,Tableau1[[Densité de chargement ]],Q$11,Tableau1[Type de véhicule],Q$13,Tableau1[Type emissions],C29))*Q26)</f>
        <v>0</v>
      </c>
      <c r="R33" s="140"/>
      <c r="T33" s="95"/>
      <c r="U33" s="30"/>
      <c r="V33" s="30"/>
      <c r="W33" s="30"/>
      <c r="X33" s="30"/>
      <c r="Y33" s="30"/>
      <c r="Z33" s="30"/>
      <c r="AA33" s="30"/>
      <c r="AB33" s="30"/>
      <c r="AC33" s="30"/>
      <c r="AD33" s="30"/>
      <c r="AE33" s="30"/>
      <c r="AF33" s="30"/>
      <c r="AG33" s="30"/>
      <c r="AH33" s="30"/>
      <c r="AI33" s="96"/>
      <c r="AL33" s="18" t="s">
        <v>33</v>
      </c>
      <c r="AM33" t="str">
        <v>Utilitaire léger (&lt;3.5t)</v>
      </c>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row>
    <row r="34" spans="1:70" x14ac:dyDescent="0.3">
      <c r="A34" s="112"/>
      <c r="B34" s="142"/>
      <c r="C34" s="137"/>
      <c r="D34" s="137"/>
      <c r="E34" s="138"/>
      <c r="F34" s="137"/>
      <c r="G34" s="138"/>
      <c r="H34" s="137"/>
      <c r="I34" s="138"/>
      <c r="J34" s="137"/>
      <c r="K34" s="138"/>
      <c r="L34" s="138"/>
      <c r="M34" s="138"/>
      <c r="N34" s="138"/>
      <c r="O34" s="143"/>
      <c r="P34" s="137"/>
      <c r="Q34" s="138"/>
      <c r="R34" s="140"/>
      <c r="T34" s="95"/>
      <c r="U34" s="30"/>
      <c r="V34" s="30"/>
      <c r="W34" s="30"/>
      <c r="X34" s="30"/>
      <c r="Y34" s="30"/>
      <c r="Z34" s="30"/>
      <c r="AA34" s="30"/>
      <c r="AB34" s="30"/>
      <c r="AC34" s="30"/>
      <c r="AD34" s="30"/>
      <c r="AE34" s="30"/>
      <c r="AF34" s="30"/>
      <c r="AG34" s="30"/>
      <c r="AH34" s="30"/>
      <c r="AI34" s="96"/>
      <c r="AL34" s="18" t="s">
        <v>33</v>
      </c>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row>
    <row r="35" spans="1:70" x14ac:dyDescent="0.3">
      <c r="A35" s="112"/>
      <c r="B35" s="135" t="str">
        <f>'Emissions transports'!M1&amp;" (g)"</f>
        <v>PM10 (g)</v>
      </c>
      <c r="C35" s="136" t="s">
        <v>34</v>
      </c>
      <c r="D35" s="137"/>
      <c r="E35" s="133">
        <f>(SUMIFS(Tableau1[PM10],Tableau1[[mode de transport ]],E$5,Tableau1[Voie de transport],E$7,Tableau1[Type de chargement],E$9,Tableau1[[Densité de chargement ]],E$11,Tableau1[Type de véhicule],E$13,Tableau1[Type emissions],$C$27))*E$25*((SUMIFS(Tableau7[PM10],Tableau7[[Type de transport ]],E$5,Tableau7[Carburant],E$15,Tableau7[Type emissions],'Calculateur - trajet'!$C$27)))</f>
        <v>1580</v>
      </c>
      <c r="F35" s="138"/>
      <c r="G35" s="133">
        <f>(SUMIFS(Tableau1[PM10],Tableau1[[mode de transport ]],G$5,Tableau1[Voie de transport],G$7,Tableau1[Type de chargement],G$9,Tableau1[[Densité de chargement ]],G$11,Tableau1[Type de véhicule],G$13,Tableau1[Type emissions],$C$27))*G$25*((SUMIFS(Tableau7[PM10],Tableau7[[Type de transport ]],G$5,Tableau7[Carburant],G$15,Tableau7[Type emissions],'Calculateur - trajet'!$C$27)))</f>
        <v>230</v>
      </c>
      <c r="H35" s="138"/>
      <c r="I35" s="133">
        <f>(SUMIFS(Tableau1[PM10],Tableau1[[mode de transport ]],I$5,Tableau1[Voie de transport],I$7,Tableau1[Type de chargement],I$9,Tableau1[[Densité de chargement ]],I$11,Tableau1[Type de véhicule],I$13,Tableau1[Type emissions],$C$27))*I$25*((SUMIFS(Tableau7[PM10],Tableau7[[Type de transport ]],I$5,Tableau7[Carburant],I$15,Tableau7[Type emissions],'Calculateur - trajet'!$C$27)))</f>
        <v>90</v>
      </c>
      <c r="J35" s="138"/>
      <c r="K35" s="133">
        <f>(SUMIFS(Tableau1[PM10],Tableau1[[mode de transport ]],K$5,Tableau1[Voie de transport],K$7,Tableau1[Type de chargement],K$9,Tableau1[[Densité de chargement ]],K$11,Tableau1[Type de véhicule],K$13,Tableau1[Type emissions],$C$27))*K$25*((SUMIFS(Tableau7[PM10],Tableau7[[Type de transport ]],K$5,Tableau7[Carburant],K$15,Tableau7[Type emissions],'Calculateur - trajet'!$C$27)))</f>
        <v>160</v>
      </c>
      <c r="L35" s="138"/>
      <c r="M35" s="138"/>
      <c r="N35" s="138"/>
      <c r="O35" s="139">
        <f>SUM(E35,G35,I35,K35,M35)</f>
        <v>2060</v>
      </c>
      <c r="P35" s="138"/>
      <c r="Q35" s="133">
        <f>(SUMIFS(Tableau1[PM10],Tableau1[[mode de transport ]],Q$5,Tableau1[Voie de transport],Q$7,Tableau1[Type de chargement],Q$9,Tableau1[[Densité de chargement ]],Q$11,Tableau1[Type de véhicule],Q$13,Tableau1[Type emissions],$C$27))*Q$25*((SUMIFS(Tableau7[PM10],Tableau7[[Type de transport ]],Q$5,Tableau7[Carburant],Q$15,Tableau7[Type emissions],'Calculateur - trajet'!$C$27)))</f>
        <v>0</v>
      </c>
      <c r="R35" s="140"/>
      <c r="T35" s="95"/>
      <c r="U35" s="30"/>
      <c r="V35" s="30"/>
      <c r="W35" s="30"/>
      <c r="X35" s="30"/>
      <c r="Y35" s="30"/>
      <c r="Z35" s="30"/>
      <c r="AA35" s="30"/>
      <c r="AB35" s="30"/>
      <c r="AC35" s="30"/>
      <c r="AD35" s="30"/>
      <c r="AE35" s="30"/>
      <c r="AF35" s="30"/>
      <c r="AG35" s="30"/>
      <c r="AH35" s="30"/>
      <c r="AI35" s="96"/>
      <c r="AL35" s="18" t="s">
        <v>33</v>
      </c>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row>
    <row r="36" spans="1:70" x14ac:dyDescent="0.3">
      <c r="A36" s="112"/>
      <c r="B36" s="135"/>
      <c r="C36" s="136" t="s">
        <v>35</v>
      </c>
      <c r="D36" s="137"/>
      <c r="E36" s="133">
        <f>(SUMIFS(Tableau1[PM10],Tableau1[[mode de transport ]],E$5,Tableau1[Voie de transport],E$7,Tableau1[Type de chargement],E$9,Tableau1[[Densité de chargement ]],E$11,Tableau1[Type de véhicule],E$13,Tableau1[Type emissions],$C$28))*E$25*((SUMIFS(Tableau7[PM10],Tableau7[[Type de transport ]],E$5,Tableau7[Carburant],E$15,Tableau7[Type emissions],'Calculateur - trajet'!$C$28)))</f>
        <v>549.99999999999989</v>
      </c>
      <c r="F36" s="138"/>
      <c r="G36" s="133">
        <f>(SUMIFS(Tableau1[PM10],Tableau1[[mode de transport ]],G$5,Tableau1[Voie de transport],G$7,Tableau1[Type de chargement],G$9,Tableau1[[Densité de chargement ]],G$11,Tableau1[Type de véhicule],G$13,Tableau1[Type emissions],$C$28))*G$25*((SUMIFS(Tableau7[PM10],Tableau7[[Type de transport ]],G$5,Tableau7[Carburant],G$15,Tableau7[Type emissions],'Calculateur - trajet'!$C$28)))</f>
        <v>20.000000000000018</v>
      </c>
      <c r="H36" s="138"/>
      <c r="I36" s="133">
        <f>(SUMIFS(Tableau1[PM10],Tableau1[[mode de transport ]],I$5,Tableau1[Voie de transport],I$7,Tableau1[Type de chargement],I$9,Tableau1[[Densité de chargement ]],I$11,Tableau1[Type de véhicule],I$13,Tableau1[Type emissions],$C$28))*I$25*((SUMIFS(Tableau7[PM10],Tableau7[[Type de transport ]],I$5,Tableau7[Carburant],I$15,Tableau7[Type emissions],'Calculateur - trajet'!$C$28)))</f>
        <v>10.000000000000009</v>
      </c>
      <c r="J36" s="138"/>
      <c r="K36" s="133">
        <f>(SUMIFS(Tableau1[PM10],Tableau1[[mode de transport ]],K$5,Tableau1[Voie de transport],K$7,Tableau1[Type de chargement],K$9,Tableau1[[Densité de chargement ]],K$11,Tableau1[Type de véhicule],K$13,Tableau1[Type emissions],$C$28))*K$25*((SUMIFS(Tableau7[PM10],Tableau7[[Type de transport ]],K$5,Tableau7[Carburant],K$15,Tableau7[Type emissions],'Calculateur - trajet'!$C$28)))</f>
        <v>10.000000000000009</v>
      </c>
      <c r="L36" s="138"/>
      <c r="M36" s="138"/>
      <c r="N36" s="138"/>
      <c r="O36" s="139">
        <f>SUM(E36,G36,I36,K36,M36)</f>
        <v>589.99999999999989</v>
      </c>
      <c r="P36" s="138"/>
      <c r="Q36" s="133">
        <f>(SUMIFS(Tableau1[PM10],Tableau1[[mode de transport ]],Q$5,Tableau1[Voie de transport],Q$7,Tableau1[Type de chargement],Q$9,Tableau1[[Densité de chargement ]],Q$11,Tableau1[Type de véhicule],Q$13,Tableau1[Type emissions],$C$28))*Q$25*((SUMIFS(Tableau7[PM10],Tableau7[[Type de transport ]],Q$5,Tableau7[Carburant],Q$15,Tableau7[Type emissions],'Calculateur - trajet'!$C$28)))</f>
        <v>0</v>
      </c>
      <c r="R36" s="140"/>
      <c r="T36" s="95"/>
      <c r="U36" s="30"/>
      <c r="V36" s="30"/>
      <c r="W36" s="30"/>
      <c r="X36" s="30"/>
      <c r="Y36" s="30"/>
      <c r="Z36" s="30"/>
      <c r="AA36" s="30"/>
      <c r="AB36" s="30"/>
      <c r="AC36" s="30"/>
      <c r="AD36" s="30"/>
      <c r="AE36" s="30"/>
      <c r="AF36" s="30"/>
      <c r="AG36" s="30"/>
      <c r="AH36" s="30"/>
      <c r="AI36" s="96"/>
      <c r="AL36" s="18" t="s">
        <v>33</v>
      </c>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row>
    <row r="37" spans="1:70" x14ac:dyDescent="0.3">
      <c r="A37" s="112"/>
      <c r="B37" s="135"/>
      <c r="C37" s="136" t="s">
        <v>286</v>
      </c>
      <c r="D37" s="137"/>
      <c r="E37" s="138"/>
      <c r="F37" s="141" cm="1">
        <f t="array" ref="F37">_xlfn.IFS(E5&lt;&gt;G5,(E19*SUMIFS(Tableau10[PM10],Tableau10[Type de chargement],'Calculateur - trajet'!E9,Tableau10[[Carburant ]],M15)),E5=G5,0)</f>
        <v>22.1</v>
      </c>
      <c r="G37" s="138"/>
      <c r="H37" s="141" cm="1">
        <f t="array" ref="H37">_xlfn.IFS(G5&lt;&gt;I5,(G19*SUMIFS(Tableau10[PM10],Tableau10[Type de chargement],'Calculateur - trajet'!G9,Tableau10[[Carburant ]],M15)),I5=G5,0)</f>
        <v>0</v>
      </c>
      <c r="I37" s="138"/>
      <c r="J37" s="141" cm="1">
        <f t="array" ref="J37">_xlfn.IFS(I5&lt;&gt;K5,(I19*SUMIFS(Tableau10[PM10],Tableau10[Type de chargement],'Calculateur - trajet'!I9,Tableau10[[Carburant ]],M15)),K5=I5,0)</f>
        <v>0</v>
      </c>
      <c r="K37" s="138"/>
      <c r="L37" s="138"/>
      <c r="M37" s="133">
        <f>SUM(F37,H37,J37)</f>
        <v>22.1</v>
      </c>
      <c r="N37" s="138"/>
      <c r="O37" s="139">
        <f>M37</f>
        <v>22.1</v>
      </c>
      <c r="P37" s="138"/>
      <c r="Q37" s="133">
        <f>(SUMIFS(Tableau1[PM10],Tableau1[[mode de transport ]],Q$5,Tableau1[Voie de transport],Q$7,Tableau1[Type de chargement],Q$9,Tableau1[[Densité de chargement ]],Q$11,Tableau1[Type de véhicule],Q$13,Tableau1[Type emissions],$C$28))*Q$25*((SUMIFS(Tableau7[PM10],Tableau7[[Type de transport ]],Q$5,Tableau7[Carburant],Q$15,Tableau7[Type emissions],'Calculateur - trajet'!$C$28)))</f>
        <v>0</v>
      </c>
      <c r="R37" s="140"/>
      <c r="T37" s="95"/>
      <c r="U37" s="30"/>
      <c r="V37" s="30"/>
      <c r="W37" s="30"/>
      <c r="X37" s="30"/>
      <c r="Y37" s="30"/>
      <c r="Z37" s="30"/>
      <c r="AA37" s="30"/>
      <c r="AB37" s="30"/>
      <c r="AC37" s="30"/>
      <c r="AD37" s="30"/>
      <c r="AE37" s="30"/>
      <c r="AF37" s="30"/>
      <c r="AG37" s="30"/>
      <c r="AH37" s="30"/>
      <c r="AI37" s="96"/>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x14ac:dyDescent="0.3">
      <c r="A38" s="112"/>
      <c r="B38" s="142"/>
      <c r="C38" s="137"/>
      <c r="D38" s="137"/>
      <c r="E38" s="138"/>
      <c r="F38" s="137"/>
      <c r="G38" s="138"/>
      <c r="H38" s="137"/>
      <c r="I38" s="138"/>
      <c r="J38" s="137"/>
      <c r="K38" s="138"/>
      <c r="L38" s="138"/>
      <c r="M38" s="138"/>
      <c r="N38" s="138"/>
      <c r="O38" s="143"/>
      <c r="P38" s="137"/>
      <c r="Q38" s="138"/>
      <c r="R38" s="140"/>
      <c r="T38" s="95"/>
      <c r="U38" s="30"/>
      <c r="V38" s="30"/>
      <c r="W38" s="30"/>
      <c r="X38" s="30"/>
      <c r="Y38" s="30"/>
      <c r="Z38" s="30"/>
      <c r="AA38" s="30"/>
      <c r="AB38" s="30"/>
      <c r="AC38" s="30"/>
      <c r="AD38" s="30"/>
      <c r="AE38" s="30"/>
      <c r="AF38" s="30"/>
      <c r="AG38" s="30"/>
      <c r="AH38" s="30"/>
      <c r="AI38" s="96"/>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row>
    <row r="39" spans="1:70" x14ac:dyDescent="0.3">
      <c r="A39" s="112"/>
      <c r="B39" s="135" t="str">
        <f>'Emissions transports'!N1&amp;"(g)"</f>
        <v>NOx (g)</v>
      </c>
      <c r="C39" s="136" t="s">
        <v>34</v>
      </c>
      <c r="D39" s="137"/>
      <c r="E39" s="133">
        <f>(SUMIFS(Tableau1[[NOx ]],Tableau1[[mode de transport ]],E$5,Tableau1[Voie de transport],E$7,Tableau1[Type de chargement],E$9,Tableau1[[Densité de chargement ]],E$11,Tableau1[Type de véhicule],E$13,Tableau1[Type emissions],$C$27))*E25*((SUMIFS(Tableau7[[NOx ]],Tableau7[[Type de transport ]],E$5,Tableau7[Carburant],E$15,Tableau7[Type emissions],'Calculateur - trajet'!$C$27)))</f>
        <v>45400</v>
      </c>
      <c r="F39" s="138"/>
      <c r="G39" s="133">
        <f>(SUMIFS(Tableau1[[NOx ]],Tableau1[[mode de transport ]],G$5,Tableau1[Voie de transport],G$7,Tableau1[Type de chargement],G$9,Tableau1[[Densité de chargement ]],G$11,Tableau1[Type de véhicule],G$13,Tableau1[Type emissions],$C$27))*G25*((SUMIFS(Tableau7[[NOx ]],Tableau7[[Type de transport ]],G$5,Tableau7[Carburant],G$15,Tableau7[Type emissions],'Calculateur - trajet'!$C$27)))</f>
        <v>4600</v>
      </c>
      <c r="H39" s="138"/>
      <c r="I39" s="133">
        <f>(SUMIFS(Tableau1[[NOx ]],Tableau1[[mode de transport ]],I$5,Tableau1[Voie de transport],I$7,Tableau1[Type de chargement],I$9,Tableau1[[Densité de chargement ]],I$11,Tableau1[Type de véhicule],I$13,Tableau1[Type emissions],$C$27))*I25*((SUMIFS(Tableau7[[NOx ]],Tableau7[[Type de transport ]],I$5,Tableau7[Carburant],I$15,Tableau7[Type emissions],'Calculateur - trajet'!$C$27)))</f>
        <v>2600</v>
      </c>
      <c r="J39" s="138"/>
      <c r="K39" s="133">
        <f>(SUMIFS(Tableau1[[NOx ]],Tableau1[[mode de transport ]],K$5,Tableau1[Voie de transport],K$7,Tableau1[Type de chargement],K$9,Tableau1[[Densité de chargement ]],K$11,Tableau1[Type de véhicule],K$13,Tableau1[Type emissions],$C$27))*K25*((SUMIFS(Tableau7[[NOx ]],Tableau7[[Type de transport ]],K$5,Tableau7[Carburant],K$15,Tableau7[Type emissions],'Calculateur - trajet'!$C$27)))</f>
        <v>3200</v>
      </c>
      <c r="L39" s="138"/>
      <c r="M39" s="138"/>
      <c r="N39" s="138"/>
      <c r="O39" s="139">
        <f>SUM(E39,G39,I39,K39,M39)</f>
        <v>55800</v>
      </c>
      <c r="P39" s="138"/>
      <c r="Q39" s="133">
        <f>(SUMIFS(Tableau1[[NOx ]],Tableau1[[mode de transport ]],Q$5,Tableau1[Voie de transport],Q$7,Tableau1[Type de chargement],Q$9,Tableau1[[Densité de chargement ]],Q$11,Tableau1[Type de véhicule],Q$13,Tableau1[Type emissions],$C$27))*Q25*((SUMIFS(Tableau7[[NOx ]],Tableau7[[Type de transport ]],Q$5,Tableau7[Carburant],Q$15,Tableau7[Type emissions],'Calculateur - trajet'!$C$27)))</f>
        <v>0</v>
      </c>
      <c r="R39" s="140"/>
      <c r="T39" s="95"/>
      <c r="U39" s="30"/>
      <c r="V39" s="30"/>
      <c r="W39" s="30"/>
      <c r="X39" s="30"/>
      <c r="Y39" s="30"/>
      <c r="Z39" s="30"/>
      <c r="AA39" s="30"/>
      <c r="AB39" s="30"/>
      <c r="AC39" s="30"/>
      <c r="AD39" s="30"/>
      <c r="AE39" s="30"/>
      <c r="AF39" s="30"/>
      <c r="AG39" s="30"/>
      <c r="AH39" s="30"/>
      <c r="AI39" s="96"/>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row>
    <row r="40" spans="1:70" x14ac:dyDescent="0.3">
      <c r="A40" s="112"/>
      <c r="B40" s="135"/>
      <c r="C40" s="136" t="s">
        <v>35</v>
      </c>
      <c r="D40" s="137"/>
      <c r="E40" s="133">
        <f>(SUMIFS(Tableau1[[NOx ]],Tableau1[[mode de transport ]],E$5,Tableau1[Voie de transport],E$7,Tableau1[Type de chargement],E$9,Tableau1[[Densité de chargement ]],E$11,Tableau1[Type de véhicule],E$13,Tableau1[Type emissions],$C$28))*E$25*((SUMIFS(Tableau7[CO2-eq. ],Tableau7[[Type de transport ]],E$5,Tableau7[Carburant],E$15,Tableau7[Type emissions],'Calculateur - trajet'!$C$28)))</f>
        <v>5099.9999999999982</v>
      </c>
      <c r="F40" s="138"/>
      <c r="G40" s="133">
        <f>(SUMIFS(Tableau1[[NOx ]],Tableau1[[mode de transport ]],G$5,Tableau1[Voie de transport],G$7,Tableau1[Type de chargement],G$9,Tableau1[[Densité de chargement ]],G$11,Tableau1[Type de véhicule],G$13,Tableau1[Type emissions],$C$28))*G$25*((SUMIFS(Tableau7[CO2-eq. ],Tableau7[[Type de transport ]],G$5,Tableau7[Carburant],G$15,Tableau7[Type emissions],'Calculateur - trajet'!$C$28)))</f>
        <v>99.999999999999531</v>
      </c>
      <c r="H40" s="138"/>
      <c r="I40" s="133">
        <f>(SUMIFS(Tableau1[[NOx ]],Tableau1[[mode de transport ]],I$5,Tableau1[Voie de transport],I$7,Tableau1[Type de chargement],I$9,Tableau1[[Densité de chargement ]],I$11,Tableau1[Type de véhicule],I$13,Tableau1[Type emissions],$C$28))*I$25*((SUMIFS(Tableau7[CO2-eq. ],Tableau7[[Type de transport ]],I$5,Tableau7[Carburant],I$15,Tableau7[Type emissions],'Calculateur - trajet'!$C$28)))</f>
        <v>100.00000000000009</v>
      </c>
      <c r="J40" s="138"/>
      <c r="K40" s="133">
        <f>(SUMIFS(Tableau1[[NOx ]],Tableau1[[mode de transport ]],K$5,Tableau1[Voie de transport],K$7,Tableau1[Type de chargement],K$9,Tableau1[[Densité de chargement ]],K$11,Tableau1[Type de véhicule],K$13,Tableau1[Type emissions],$C$28))*K$25*((SUMIFS(Tableau7[CO2-eq. ],Tableau7[[Type de transport ]],K$5,Tableau7[Carburant],K$15,Tableau7[Type emissions],'Calculateur - trajet'!$C$28)))</f>
        <v>100.00000000000009</v>
      </c>
      <c r="L40" s="138"/>
      <c r="M40" s="138"/>
      <c r="N40" s="138"/>
      <c r="O40" s="139">
        <f>SUM(E40,G40,I40,K40,M40)</f>
        <v>5399.9999999999973</v>
      </c>
      <c r="P40" s="138"/>
      <c r="Q40" s="133">
        <f>(SUMIFS(Tableau1[[NOx ]],Tableau1[[mode de transport ]],Q$5,Tableau1[Voie de transport],Q$7,Tableau1[Type de chargement],Q$9,Tableau1[[Densité de chargement ]],Q$11,Tableau1[Type de véhicule],Q$13,Tableau1[Type emissions],$C$28))*Q$25*((SUMIFS(Tableau7[CO2-eq. ],Tableau7[[Type de transport ]],Q$5,Tableau7[Carburant],Q$15,Tableau7[Type emissions],'Calculateur - trajet'!$C$28)))</f>
        <v>0</v>
      </c>
      <c r="R40" s="140"/>
      <c r="T40" s="95"/>
      <c r="U40" s="30"/>
      <c r="V40" s="30"/>
      <c r="W40" s="30"/>
      <c r="X40" s="30"/>
      <c r="Y40" s="30"/>
      <c r="Z40" s="30"/>
      <c r="AA40" s="30"/>
      <c r="AB40" s="30"/>
      <c r="AC40" s="30"/>
      <c r="AD40" s="30"/>
      <c r="AE40" s="30"/>
      <c r="AF40" s="30"/>
      <c r="AG40" s="30"/>
      <c r="AH40" s="30"/>
      <c r="AI40" s="96"/>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row>
    <row r="41" spans="1:70" x14ac:dyDescent="0.3">
      <c r="A41" s="112"/>
      <c r="B41" s="135"/>
      <c r="C41" s="136" t="s">
        <v>286</v>
      </c>
      <c r="D41" s="137"/>
      <c r="E41" s="138"/>
      <c r="F41" s="141" cm="1">
        <f t="array" ref="F41">_xlfn.IFS(E5&lt;&gt;G5,(E19*SUMIFS(Tableau10[[NOx ]],Tableau10[Type de chargement],'Calculateur - trajet'!E9,Tableau10[[Carburant ]],M15)),E5=G5,0)</f>
        <v>410.80000000000007</v>
      </c>
      <c r="G41" s="138"/>
      <c r="H41" s="141" cm="1">
        <f t="array" ref="H41">_xlfn.IFS(G5&lt;&gt;I5,(G19*SUMIFS(Tableau10[[NOx ]],Tableau10[Type de chargement],'Calculateur - trajet'!G9,Tableau10[[Carburant ]],M15)),I5=G5,0)</f>
        <v>0</v>
      </c>
      <c r="I41" s="138"/>
      <c r="J41" s="141" cm="1">
        <f t="array" ref="J41">_xlfn.IFS(I5&lt;&gt;K5,(I19*SUMIFS(Tableau10[[NOx ]],Tableau10[Type de chargement],'Calculateur - trajet'!I9,Tableau10[[Carburant ]],M15)),K5=I5,0)</f>
        <v>0</v>
      </c>
      <c r="K41" s="138"/>
      <c r="L41" s="138"/>
      <c r="M41" s="133">
        <f>SUM(F41,H41,J41)</f>
        <v>410.80000000000007</v>
      </c>
      <c r="N41" s="138"/>
      <c r="O41" s="139">
        <f>M41</f>
        <v>410.80000000000007</v>
      </c>
      <c r="P41" s="138"/>
      <c r="Q41" s="133">
        <v>0</v>
      </c>
      <c r="R41" s="140"/>
      <c r="T41" s="95"/>
      <c r="U41" s="30"/>
      <c r="V41" s="30"/>
      <c r="W41" s="30"/>
      <c r="X41" s="30"/>
      <c r="Y41" s="30"/>
      <c r="Z41" s="30"/>
      <c r="AA41" s="30"/>
      <c r="AB41" s="30"/>
      <c r="AC41" s="30"/>
      <c r="AD41" s="30"/>
      <c r="AE41" s="30"/>
      <c r="AF41" s="30"/>
      <c r="AG41" s="30"/>
      <c r="AH41" s="30"/>
      <c r="AI41" s="96"/>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row>
    <row r="42" spans="1:70" ht="15" thickBot="1" x14ac:dyDescent="0.35">
      <c r="B42" s="144"/>
      <c r="C42" s="145"/>
      <c r="D42" s="145"/>
      <c r="E42" s="145"/>
      <c r="F42" s="145"/>
      <c r="G42" s="145"/>
      <c r="H42" s="145"/>
      <c r="I42" s="145"/>
      <c r="J42" s="145"/>
      <c r="K42" s="145"/>
      <c r="L42" s="145"/>
      <c r="M42" s="145"/>
      <c r="N42" s="145"/>
      <c r="O42" s="145"/>
      <c r="P42" s="145"/>
      <c r="Q42" s="145"/>
      <c r="R42" s="146"/>
      <c r="T42" s="95"/>
      <c r="U42" s="30"/>
      <c r="V42" s="30"/>
      <c r="W42" s="30"/>
      <c r="X42" s="30"/>
      <c r="Y42" s="30"/>
      <c r="Z42" s="30"/>
      <c r="AA42" s="30"/>
      <c r="AB42" s="30"/>
      <c r="AC42" s="30"/>
      <c r="AD42" s="30"/>
      <c r="AE42" s="30"/>
      <c r="AF42" s="30"/>
      <c r="AG42" s="30"/>
      <c r="AH42" s="30"/>
      <c r="AI42" s="96"/>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t="15" thickBot="1" x14ac:dyDescent="0.35">
      <c r="T43" s="95"/>
      <c r="U43" s="30"/>
      <c r="V43" s="30"/>
      <c r="W43" s="30"/>
      <c r="X43" s="30"/>
      <c r="Y43" s="30"/>
      <c r="Z43" s="30"/>
      <c r="AA43" s="30"/>
      <c r="AB43" s="30"/>
      <c r="AC43" s="30"/>
      <c r="AD43" s="30"/>
      <c r="AE43" s="30"/>
      <c r="AF43" s="30"/>
      <c r="AG43" s="30"/>
      <c r="AH43" s="30"/>
      <c r="AI43" s="96"/>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row>
    <row r="44" spans="1:70" ht="30" customHeight="1" x14ac:dyDescent="0.3">
      <c r="B44" s="255" t="s">
        <v>325</v>
      </c>
      <c r="C44" s="256"/>
      <c r="D44" s="256"/>
      <c r="E44" s="256"/>
      <c r="F44" s="256"/>
      <c r="G44" s="256"/>
      <c r="H44" s="256"/>
      <c r="I44" s="256"/>
      <c r="J44" s="256"/>
      <c r="K44" s="256"/>
      <c r="L44" s="256"/>
      <c r="M44" s="256"/>
      <c r="N44" s="256"/>
      <c r="O44" s="256"/>
      <c r="P44" s="256"/>
      <c r="Q44" s="256"/>
      <c r="R44" s="257"/>
      <c r="T44" s="95"/>
      <c r="U44" s="30"/>
      <c r="V44" s="30"/>
      <c r="W44" s="30"/>
      <c r="X44" s="30"/>
      <c r="Y44" s="30"/>
      <c r="Z44" s="30"/>
      <c r="AA44" s="30"/>
      <c r="AB44" s="30"/>
      <c r="AC44" s="30"/>
      <c r="AD44" s="30"/>
      <c r="AE44" s="30"/>
      <c r="AF44" s="30"/>
      <c r="AG44" s="30"/>
      <c r="AH44" s="30"/>
      <c r="AI44" s="96"/>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row>
    <row r="45" spans="1:70" ht="15" customHeight="1" x14ac:dyDescent="0.3">
      <c r="B45" s="147"/>
      <c r="C45" s="148"/>
      <c r="D45" s="148"/>
      <c r="E45" s="148"/>
      <c r="F45" s="148"/>
      <c r="G45" s="148"/>
      <c r="H45" s="148"/>
      <c r="I45" s="148"/>
      <c r="J45" s="148"/>
      <c r="K45" s="148"/>
      <c r="L45" s="148"/>
      <c r="M45" s="148"/>
      <c r="N45" s="148"/>
      <c r="O45" s="148"/>
      <c r="P45" s="148"/>
      <c r="Q45" s="148"/>
      <c r="R45" s="149"/>
      <c r="T45" s="95"/>
      <c r="U45" s="30"/>
      <c r="V45" s="30"/>
      <c r="W45" s="30"/>
      <c r="X45" s="30"/>
      <c r="Y45" s="30"/>
      <c r="Z45" s="30"/>
      <c r="AA45" s="30"/>
      <c r="AB45" s="30"/>
      <c r="AC45" s="30"/>
      <c r="AD45" s="30"/>
      <c r="AE45" s="30"/>
      <c r="AF45" s="30"/>
      <c r="AG45" s="30"/>
      <c r="AH45" s="30"/>
      <c r="AI45" s="96"/>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row>
    <row r="46" spans="1:70" x14ac:dyDescent="0.3">
      <c r="B46" s="150"/>
      <c r="C46" s="151"/>
      <c r="D46" s="152"/>
      <c r="E46" s="153"/>
      <c r="F46" s="153"/>
      <c r="G46" s="153"/>
      <c r="H46" s="153"/>
      <c r="I46" s="153"/>
      <c r="J46" s="153"/>
      <c r="K46" s="153"/>
      <c r="L46" s="153"/>
      <c r="M46" s="153"/>
      <c r="N46" s="153"/>
      <c r="O46" s="154" t="s">
        <v>120</v>
      </c>
      <c r="P46" s="153"/>
      <c r="Q46" s="153"/>
      <c r="R46" s="155"/>
      <c r="T46" s="95"/>
      <c r="U46" s="30"/>
      <c r="V46" s="30"/>
      <c r="W46" s="30"/>
      <c r="X46" s="30"/>
      <c r="Y46" s="30"/>
      <c r="Z46" s="30"/>
      <c r="AA46" s="30"/>
      <c r="AB46" s="30"/>
      <c r="AC46" s="30"/>
      <c r="AD46" s="30"/>
      <c r="AE46" s="30"/>
      <c r="AF46" s="30"/>
      <c r="AG46" s="30"/>
      <c r="AH46" s="30"/>
      <c r="AI46" s="96"/>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x14ac:dyDescent="0.3">
      <c r="B47" s="150"/>
      <c r="C47" s="151" t="s">
        <v>37</v>
      </c>
      <c r="D47" s="152"/>
      <c r="E47" s="156">
        <f>(SUMIFS(Tableau5[Coûts totaux],Tableau5[[mode de transport ]],E$5,Tableau5[Type de véhicule],E$13))*E25</f>
        <v>2630</v>
      </c>
      <c r="F47" s="153"/>
      <c r="G47" s="156">
        <f>(SUMIFS(Tableau5[Coûts totaux],Tableau5[[mode de transport ]],G$5,Tableau5[Type de véhicule],G$13))*G25</f>
        <v>279.99999999999994</v>
      </c>
      <c r="H47" s="153"/>
      <c r="I47" s="156">
        <f>(SUMIFS(Tableau5[Coûts totaux],Tableau5[[mode de transport ]],I$5,Tableau5[Type de véhicule],I$13))*I25</f>
        <v>279.99999999999994</v>
      </c>
      <c r="J47" s="153"/>
      <c r="K47" s="156">
        <f>(SUMIFS(Tableau5[Coûts totaux],Tableau5[[mode de transport ]],K$5,Tableau5[Type de véhicule],K$13))*K25</f>
        <v>279.99999999999994</v>
      </c>
      <c r="L47" s="157"/>
      <c r="M47" s="153"/>
      <c r="N47" s="157"/>
      <c r="O47" s="158">
        <f>SUM(E47,G47,I47,K47)</f>
        <v>3470</v>
      </c>
      <c r="P47" s="153"/>
      <c r="Q47" s="156">
        <f>(SUMIFS(Tableau5[Coûts totaux],Tableau5[[mode de transport ]],Q$5,Tableau5[Type de véhicule],Q$13))*Q25</f>
        <v>1152</v>
      </c>
      <c r="R47" s="159"/>
      <c r="T47" s="95"/>
      <c r="U47" s="30"/>
      <c r="V47" s="30"/>
      <c r="W47" s="30"/>
      <c r="X47" s="30"/>
      <c r="Y47" s="30"/>
      <c r="Z47" s="30"/>
      <c r="AA47" s="30"/>
      <c r="AB47" s="30"/>
      <c r="AC47" s="30"/>
      <c r="AD47" s="30"/>
      <c r="AE47" s="30"/>
      <c r="AF47" s="30"/>
      <c r="AG47" s="30"/>
      <c r="AH47" s="30"/>
      <c r="AI47" s="96"/>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row>
    <row r="48" spans="1:70" x14ac:dyDescent="0.3">
      <c r="B48" s="150"/>
      <c r="C48" s="152"/>
      <c r="D48" s="152"/>
      <c r="E48" s="152"/>
      <c r="F48" s="152"/>
      <c r="G48" s="152"/>
      <c r="H48" s="152"/>
      <c r="I48" s="152"/>
      <c r="J48" s="152"/>
      <c r="K48" s="152"/>
      <c r="L48" s="152"/>
      <c r="M48" s="153"/>
      <c r="N48" s="152"/>
      <c r="O48" s="152"/>
      <c r="P48" s="152"/>
      <c r="Q48" s="152"/>
      <c r="R48" s="160"/>
      <c r="T48" s="95"/>
      <c r="U48" s="30"/>
      <c r="V48" s="30"/>
      <c r="W48" s="30"/>
      <c r="X48" s="30"/>
      <c r="Y48" s="30"/>
      <c r="Z48" s="30"/>
      <c r="AA48" s="30"/>
      <c r="AB48" s="30"/>
      <c r="AC48" s="30"/>
      <c r="AD48" s="30"/>
      <c r="AE48" s="30"/>
      <c r="AF48" s="30"/>
      <c r="AG48" s="30"/>
      <c r="AH48" s="30"/>
      <c r="AI48" s="96"/>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row>
    <row r="49" spans="2:70" x14ac:dyDescent="0.3">
      <c r="B49" s="150"/>
      <c r="C49" s="151" t="s">
        <v>38</v>
      </c>
      <c r="D49" s="152"/>
      <c r="E49" s="156">
        <f>(SUMIFS(Tableau5[Accidents],Tableau5[[mode de transport ]],E$5,Tableau5[Type de véhicule],E$13))*E25</f>
        <v>320</v>
      </c>
      <c r="F49" s="153"/>
      <c r="G49" s="156">
        <f>(SUMIFS(Tableau5[Accidents],Tableau5[[mode de transport ]],G$5,Tableau5[Type de véhicule],G$13))*G25</f>
        <v>0</v>
      </c>
      <c r="H49" s="153"/>
      <c r="I49" s="156">
        <f>(SUMIFS(Tableau5[Accidents],Tableau5[[mode de transport ]],I$5,Tableau5[Type de véhicule],I$13))*I25</f>
        <v>0</v>
      </c>
      <c r="J49" s="153"/>
      <c r="K49" s="156">
        <f>(SUMIFS(Tableau5[Accidents],Tableau5[[mode de transport ]],K$5,Tableau5[Type de véhicule],K$13))*K25</f>
        <v>0</v>
      </c>
      <c r="L49" s="157"/>
      <c r="M49" s="153"/>
      <c r="N49" s="157"/>
      <c r="O49" s="157"/>
      <c r="P49" s="153"/>
      <c r="Q49" s="156">
        <f>(SUMIFS(Tableau5[Accidents],Tableau5[[mode de transport ]],Q$5,Tableau5[Type de véhicule],Q$13))*Q25</f>
        <v>120</v>
      </c>
      <c r="R49" s="160"/>
      <c r="T49" s="95"/>
      <c r="U49" s="30"/>
      <c r="V49" s="30"/>
      <c r="W49" s="30"/>
      <c r="X49" s="30"/>
      <c r="Y49" s="30"/>
      <c r="Z49" s="30"/>
      <c r="AA49" s="30"/>
      <c r="AB49" s="30"/>
      <c r="AC49" s="30"/>
      <c r="AD49" s="30"/>
      <c r="AE49" s="30"/>
      <c r="AF49" s="30"/>
      <c r="AG49" s="30"/>
      <c r="AH49" s="30"/>
      <c r="AI49" s="96"/>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row>
    <row r="50" spans="2:70" x14ac:dyDescent="0.3">
      <c r="B50" s="150"/>
      <c r="C50" s="151" t="s">
        <v>39</v>
      </c>
      <c r="D50" s="152"/>
      <c r="E50" s="156">
        <f>(SUMIFS(Tableau5[Bruit],Tableau5[[mode de transport ]],E$5,Tableau5[Type de véhicule],E$13))*E25</f>
        <v>190</v>
      </c>
      <c r="F50" s="153"/>
      <c r="G50" s="156">
        <f>(SUMIFS(Tableau5[Bruit],Tableau5[[mode de transport ]],G$5,Tableau5[Type de véhicule],G$13))*G25</f>
        <v>0</v>
      </c>
      <c r="H50" s="153"/>
      <c r="I50" s="156">
        <f>(SUMIFS(Tableau5[Bruit],Tableau5[[mode de transport ]],I$5,Tableau5[Type de véhicule],I$13))*I25</f>
        <v>0</v>
      </c>
      <c r="J50" s="153"/>
      <c r="K50" s="156">
        <f>(SUMIFS(Tableau5[Bruit],Tableau5[[mode de transport ]],K$5,Tableau5[Type de véhicule],K$13))*K25</f>
        <v>0</v>
      </c>
      <c r="L50" s="157"/>
      <c r="M50" s="153"/>
      <c r="N50" s="157"/>
      <c r="O50" s="157"/>
      <c r="P50" s="153"/>
      <c r="Q50" s="156">
        <f>(SUMIFS(Tableau5[Bruit],Tableau5[[mode de transport ]],Q$5,Tableau5[Type de véhicule],Q$13))*Q25</f>
        <v>167.99999999999997</v>
      </c>
      <c r="R50" s="160"/>
      <c r="T50" s="95"/>
      <c r="U50" s="30"/>
      <c r="V50" s="30"/>
      <c r="W50" s="30"/>
      <c r="X50" s="30"/>
      <c r="Y50" s="30"/>
      <c r="Z50" s="30"/>
      <c r="AA50" s="30"/>
      <c r="AB50" s="30"/>
      <c r="AC50" s="30"/>
      <c r="AD50" s="30"/>
      <c r="AE50" s="30"/>
      <c r="AF50" s="30"/>
      <c r="AG50" s="30"/>
      <c r="AH50" s="30"/>
      <c r="AI50" s="96"/>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row>
    <row r="51" spans="2:70" x14ac:dyDescent="0.3">
      <c r="B51" s="150"/>
      <c r="C51" s="151" t="s">
        <v>40</v>
      </c>
      <c r="D51" s="152"/>
      <c r="E51" s="156">
        <f>(SUMIFS(Tableau5[Pollution de l''air],Tableau5[[mode de transport ]],E$5,Tableau5[Type de véhicule],E$13))*E25</f>
        <v>320</v>
      </c>
      <c r="F51" s="153"/>
      <c r="G51" s="156">
        <f>(SUMIFS(Tableau5[Pollution de l''air],Tableau5[[mode de transport ]],G$5,Tableau5[Type de véhicule],G$13))*G25</f>
        <v>230</v>
      </c>
      <c r="H51" s="153"/>
      <c r="I51" s="156">
        <f>(SUMIFS(Tableau5[Pollution de l''air],Tableau5[[mode de transport ]],I$5,Tableau5[Type de véhicule],I$13))*I25</f>
        <v>230</v>
      </c>
      <c r="J51" s="153"/>
      <c r="K51" s="156">
        <f>(SUMIFS(Tableau5[Pollution de l''air],Tableau5[[mode de transport ]],K$5,Tableau5[Type de véhicule],K$13))*K25</f>
        <v>230</v>
      </c>
      <c r="L51" s="157"/>
      <c r="M51" s="153"/>
      <c r="N51" s="157"/>
      <c r="O51" s="157"/>
      <c r="P51" s="153"/>
      <c r="Q51" s="156">
        <f>(SUMIFS(Tableau5[Pollution de l''air],Tableau5[[mode de transport ]],Q$5,Tableau5[Type de véhicule],Q$13))*Q25</f>
        <v>264</v>
      </c>
      <c r="R51" s="160"/>
      <c r="T51" s="95"/>
      <c r="U51" s="30"/>
      <c r="V51" s="30"/>
      <c r="W51" s="30"/>
      <c r="X51" s="30"/>
      <c r="Y51" s="30"/>
      <c r="Z51" s="30"/>
      <c r="AA51" s="30"/>
      <c r="AB51" s="30"/>
      <c r="AC51" s="30"/>
      <c r="AD51" s="30"/>
      <c r="AE51" s="30"/>
      <c r="AF51" s="30"/>
      <c r="AG51" s="30"/>
      <c r="AH51" s="30"/>
      <c r="AI51" s="96"/>
      <c r="AJ51" s="1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2:70" x14ac:dyDescent="0.3">
      <c r="B52" s="150"/>
      <c r="C52" s="151" t="s">
        <v>326</v>
      </c>
      <c r="D52" s="152"/>
      <c r="E52" s="156">
        <f>(SUMIFS(Tableau5[Changements climatiques],Tableau5[[mode de transport ]],E$5,Tableau5[Type de véhicule],E$13))*E25</f>
        <v>400</v>
      </c>
      <c r="F52" s="153"/>
      <c r="G52" s="156">
        <f>(SUMIFS(Tableau5[Changements climatiques],Tableau5[[mode de transport ]],G$5,Tableau5[Type de véhicule],G$13))*G25</f>
        <v>30</v>
      </c>
      <c r="H52" s="153"/>
      <c r="I52" s="156">
        <f>(SUMIFS(Tableau5[Changements climatiques],Tableau5[[mode de transport ]],I$5,Tableau5[Type de véhicule],I$13))*I25</f>
        <v>30</v>
      </c>
      <c r="J52" s="153"/>
      <c r="K52" s="156">
        <f>(SUMIFS(Tableau5[Changements climatiques],Tableau5[[mode de transport ]],K$5,Tableau5[Type de véhicule],K$13))*K25</f>
        <v>30</v>
      </c>
      <c r="L52" s="157"/>
      <c r="M52" s="153"/>
      <c r="N52" s="157"/>
      <c r="O52" s="157"/>
      <c r="P52" s="153"/>
      <c r="Q52" s="156">
        <f>(SUMIFS(Tableau5[Changements climatiques],Tableau5[[mode de transport ]],Q$5,Tableau5[Type de véhicule],Q$13))*Q25</f>
        <v>167.99999999999997</v>
      </c>
      <c r="R52" s="160"/>
      <c r="T52" s="95"/>
      <c r="U52" s="30"/>
      <c r="V52" s="30"/>
      <c r="W52" s="30"/>
      <c r="X52" s="30"/>
      <c r="Y52" s="30"/>
      <c r="Z52" s="30"/>
      <c r="AA52" s="30"/>
      <c r="AB52" s="30"/>
      <c r="AC52" s="30"/>
      <c r="AD52" s="30"/>
      <c r="AE52" s="30"/>
      <c r="AF52" s="30"/>
      <c r="AG52" s="30"/>
      <c r="AH52" s="30"/>
      <c r="AI52" s="96"/>
      <c r="AJ52" s="1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row>
    <row r="53" spans="2:70" x14ac:dyDescent="0.3">
      <c r="B53" s="150"/>
      <c r="C53" s="151" t="s">
        <v>42</v>
      </c>
      <c r="D53" s="152"/>
      <c r="E53" s="156">
        <f>(SUMIFS(Tableau5[Effets de coupure],Tableau5[[mode de transport ]],E$5,Tableau5[Type de véhicule],E$13))*E25</f>
        <v>69.999999999999986</v>
      </c>
      <c r="F53" s="153"/>
      <c r="G53" s="156">
        <f>(SUMIFS(Tableau5[Effets de coupure],Tableau5[[mode de transport ]],G$5,Tableau5[Type de véhicule],G$13))*G25</f>
        <v>0</v>
      </c>
      <c r="H53" s="153"/>
      <c r="I53" s="156">
        <f>(SUMIFS(Tableau5[Effets de coupure],Tableau5[[mode de transport ]],I$5,Tableau5[Type de véhicule],I$13))*I25</f>
        <v>0</v>
      </c>
      <c r="J53" s="153"/>
      <c r="K53" s="156">
        <f>(SUMIFS(Tableau5[Effets de coupure],Tableau5[[mode de transport ]],K$5,Tableau5[Type de véhicule],K$13))*K25</f>
        <v>0</v>
      </c>
      <c r="L53" s="157"/>
      <c r="M53" s="153"/>
      <c r="N53" s="157"/>
      <c r="O53" s="157"/>
      <c r="P53" s="153"/>
      <c r="Q53" s="156">
        <f>(SUMIFS(Tableau5[Effets de coupure],Tableau5[[mode de transport ]],Q$5,Tableau5[Type de véhicule],Q$13))*Q25</f>
        <v>24</v>
      </c>
      <c r="R53" s="160"/>
      <c r="T53" s="95"/>
      <c r="U53" s="30"/>
      <c r="V53" s="30"/>
      <c r="W53" s="30"/>
      <c r="X53" s="30"/>
      <c r="Y53" s="30"/>
      <c r="Z53" s="30"/>
      <c r="AA53" s="30"/>
      <c r="AB53" s="30"/>
      <c r="AC53" s="30"/>
      <c r="AD53" s="30"/>
      <c r="AE53" s="30"/>
      <c r="AF53" s="30"/>
      <c r="AG53" s="30"/>
      <c r="AH53" s="30"/>
      <c r="AI53" s="96"/>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row>
    <row r="54" spans="2:70" x14ac:dyDescent="0.3">
      <c r="B54" s="150"/>
      <c r="C54" s="151" t="s">
        <v>43</v>
      </c>
      <c r="D54" s="152"/>
      <c r="E54" s="156">
        <f>(SUMIFS(Tableau5[Effets en amont],Tableau5[[mode de transport ]],E$5,Tableau5[Type de véhicule],E$13))*E25</f>
        <v>180.00000000000003</v>
      </c>
      <c r="F54" s="153"/>
      <c r="G54" s="156">
        <f>(SUMIFS(Tableau5[Effets en amont],Tableau5[[mode de transport ]],G$5,Tableau5[Type de véhicule],G$13))*G25</f>
        <v>20</v>
      </c>
      <c r="H54" s="153"/>
      <c r="I54" s="156">
        <f>(SUMIFS(Tableau5[Effets en amont],Tableau5[[mode de transport ]],I$5,Tableau5[Type de véhicule],I$13))*I25</f>
        <v>20</v>
      </c>
      <c r="J54" s="153"/>
      <c r="K54" s="156">
        <f>(SUMIFS(Tableau5[Effets en amont],Tableau5[[mode de transport ]],K$5,Tableau5[Type de véhicule],K$13))*K25</f>
        <v>20</v>
      </c>
      <c r="L54" s="157"/>
      <c r="M54" s="153"/>
      <c r="N54" s="157"/>
      <c r="O54" s="157"/>
      <c r="P54" s="153"/>
      <c r="Q54" s="156">
        <f>(SUMIFS(Tableau5[Effets en amont],Tableau5[[mode de transport ]],Q$5,Tableau5[Type de véhicule],Q$13))*Q25</f>
        <v>96</v>
      </c>
      <c r="R54" s="160"/>
      <c r="T54" s="95"/>
      <c r="U54" s="30"/>
      <c r="V54" s="30"/>
      <c r="W54" s="30"/>
      <c r="X54" s="30"/>
      <c r="Y54" s="30"/>
      <c r="Z54" s="30"/>
      <c r="AA54" s="30"/>
      <c r="AB54" s="30"/>
      <c r="AC54" s="30"/>
      <c r="AD54" s="30"/>
      <c r="AE54" s="30"/>
      <c r="AF54" s="30"/>
      <c r="AG54" s="30"/>
      <c r="AH54" s="30"/>
      <c r="AI54" s="96"/>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row>
    <row r="55" spans="2:70" x14ac:dyDescent="0.3">
      <c r="B55" s="150"/>
      <c r="C55" s="151" t="s">
        <v>319</v>
      </c>
      <c r="D55" s="152"/>
      <c r="E55" s="156">
        <f>(SUMIFS(Tableau5[[Congestion ]],Tableau5[[mode de transport ]],E$5,Tableau5[Type de véhicule],E$13))*E25</f>
        <v>1150</v>
      </c>
      <c r="F55" s="152"/>
      <c r="G55" s="156">
        <f>(SUMIFS(Tableau5[[Congestion ]],Tableau5[[mode de transport ]],G$5,Tableau5[Type de véhicule],G$13))*G25</f>
        <v>0</v>
      </c>
      <c r="H55" s="152"/>
      <c r="I55" s="156">
        <f>(SUMIFS(Tableau5[[Congestion ]],Tableau5[[mode de transport ]],I$5,Tableau5[Type de véhicule],I$13))*I25</f>
        <v>0</v>
      </c>
      <c r="J55" s="152"/>
      <c r="K55" s="156">
        <f>(SUMIFS(Tableau5[[Congestion ]],Tableau5[[mode de transport ]],K$5,Tableau5[Type de véhicule],K$13))*K25</f>
        <v>0</v>
      </c>
      <c r="L55" s="152"/>
      <c r="M55" s="153"/>
      <c r="N55" s="152"/>
      <c r="O55" s="152"/>
      <c r="P55" s="152"/>
      <c r="Q55" s="156">
        <f>(SUMIFS(Tableau5[Effets en amont],Tableau5[[mode de transport ]],Q$5,Tableau5[Type de véhicule],Q$13))*Q25</f>
        <v>96</v>
      </c>
      <c r="R55" s="160"/>
      <c r="T55" s="95"/>
      <c r="U55" s="30"/>
      <c r="V55" s="30"/>
      <c r="W55" s="30"/>
      <c r="X55" s="30"/>
      <c r="Y55" s="30"/>
      <c r="Z55" s="30"/>
      <c r="AA55" s="30"/>
      <c r="AB55" s="30"/>
      <c r="AC55" s="30"/>
      <c r="AD55" s="30"/>
      <c r="AE55" s="30"/>
      <c r="AF55" s="30"/>
      <c r="AG55" s="30"/>
      <c r="AH55" s="30"/>
      <c r="AI55" s="96"/>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row>
    <row r="56" spans="2:70" x14ac:dyDescent="0.3">
      <c r="B56" s="150"/>
      <c r="C56" s="152"/>
      <c r="D56" s="152"/>
      <c r="E56" s="152"/>
      <c r="F56" s="152"/>
      <c r="G56" s="152"/>
      <c r="H56" s="152"/>
      <c r="I56" s="152"/>
      <c r="J56" s="152"/>
      <c r="K56" s="152"/>
      <c r="L56" s="152"/>
      <c r="M56" s="152"/>
      <c r="N56" s="152"/>
      <c r="O56" s="152"/>
      <c r="P56" s="152"/>
      <c r="Q56" s="152"/>
      <c r="R56" s="160"/>
      <c r="T56" s="95"/>
      <c r="U56" s="30"/>
      <c r="V56" s="30"/>
      <c r="W56" s="30"/>
      <c r="X56" s="30"/>
      <c r="Y56" s="30"/>
      <c r="Z56" s="30"/>
      <c r="AA56" s="30"/>
      <c r="AB56" s="30"/>
      <c r="AC56" s="30"/>
      <c r="AD56" s="30"/>
      <c r="AE56" s="30"/>
      <c r="AF56" s="30"/>
      <c r="AG56" s="30"/>
      <c r="AH56" s="30"/>
      <c r="AI56" s="96"/>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row>
    <row r="57" spans="2:70" x14ac:dyDescent="0.3">
      <c r="B57" s="150"/>
      <c r="C57" s="152"/>
      <c r="D57" s="152"/>
      <c r="E57" s="152"/>
      <c r="F57" s="152"/>
      <c r="G57" s="152"/>
      <c r="H57" s="152"/>
      <c r="I57" s="152"/>
      <c r="J57" s="152"/>
      <c r="K57" s="152"/>
      <c r="L57" s="152"/>
      <c r="M57" s="152"/>
      <c r="N57" s="152"/>
      <c r="O57" s="152"/>
      <c r="P57" s="152"/>
      <c r="Q57" s="152"/>
      <c r="R57" s="160"/>
      <c r="T57" s="95"/>
      <c r="U57" s="30"/>
      <c r="V57" s="30"/>
      <c r="W57" s="30"/>
      <c r="X57" s="30"/>
      <c r="Y57" s="30"/>
      <c r="Z57" s="30"/>
      <c r="AA57" s="30"/>
      <c r="AB57" s="30"/>
      <c r="AC57" s="30"/>
      <c r="AD57" s="30"/>
      <c r="AE57" s="30"/>
      <c r="AF57" s="30"/>
      <c r="AG57" s="30"/>
      <c r="AH57" s="30"/>
      <c r="AI57" s="96"/>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row>
    <row r="58" spans="2:70" ht="15" thickBot="1" x14ac:dyDescent="0.35">
      <c r="B58" s="161"/>
      <c r="C58" s="162"/>
      <c r="D58" s="162"/>
      <c r="E58" s="162"/>
      <c r="F58" s="162"/>
      <c r="G58" s="162"/>
      <c r="H58" s="162"/>
      <c r="I58" s="162"/>
      <c r="J58" s="162"/>
      <c r="K58" s="162"/>
      <c r="L58" s="162"/>
      <c r="M58" s="162"/>
      <c r="N58" s="162"/>
      <c r="O58" s="162"/>
      <c r="P58" s="162"/>
      <c r="Q58" s="162"/>
      <c r="R58" s="163"/>
      <c r="T58" s="95"/>
      <c r="U58" s="30"/>
      <c r="V58" s="30"/>
      <c r="W58" s="30"/>
      <c r="X58" s="30"/>
      <c r="Y58" s="30"/>
      <c r="Z58" s="30"/>
      <c r="AA58" s="30"/>
      <c r="AB58" s="30"/>
      <c r="AC58" s="30"/>
      <c r="AD58" s="30"/>
      <c r="AE58" s="30"/>
      <c r="AF58" s="30"/>
      <c r="AG58" s="30"/>
      <c r="AH58" s="30"/>
      <c r="AI58" s="96"/>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row>
    <row r="59" spans="2:70" x14ac:dyDescent="0.3">
      <c r="T59" s="95"/>
      <c r="U59" s="30"/>
      <c r="V59" s="30"/>
      <c r="W59" s="30"/>
      <c r="X59" s="30"/>
      <c r="Y59" s="30"/>
      <c r="Z59" s="30"/>
      <c r="AA59" s="30"/>
      <c r="AB59" s="30"/>
      <c r="AC59" s="30"/>
      <c r="AD59" s="30"/>
      <c r="AE59" s="30"/>
      <c r="AF59" s="30"/>
      <c r="AG59" s="30"/>
      <c r="AH59" s="30"/>
      <c r="AI59" s="96"/>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row>
    <row r="60" spans="2:70" x14ac:dyDescent="0.3">
      <c r="T60" s="95"/>
      <c r="U60" s="30"/>
      <c r="V60" s="30"/>
      <c r="W60" s="30"/>
      <c r="X60" s="30"/>
      <c r="Y60" s="30"/>
      <c r="Z60" s="30"/>
      <c r="AA60" s="30"/>
      <c r="AB60" s="30"/>
      <c r="AC60" s="30"/>
      <c r="AD60" s="30"/>
      <c r="AE60" s="30"/>
      <c r="AF60" s="30"/>
      <c r="AG60" s="30"/>
      <c r="AH60" s="30"/>
      <c r="AI60" s="96"/>
    </row>
    <row r="61" spans="2:70" x14ac:dyDescent="0.3">
      <c r="T61" s="95"/>
      <c r="U61" s="30"/>
      <c r="V61" s="30"/>
      <c r="W61" s="30"/>
      <c r="X61" s="30"/>
      <c r="Y61" s="30"/>
      <c r="Z61" s="30"/>
      <c r="AA61" s="30"/>
      <c r="AB61" s="30"/>
      <c r="AC61" s="30"/>
      <c r="AD61" s="30"/>
      <c r="AE61" s="30"/>
      <c r="AF61" s="30"/>
      <c r="AG61" s="30"/>
      <c r="AH61" s="30"/>
      <c r="AI61" s="96"/>
    </row>
    <row r="62" spans="2:70" x14ac:dyDescent="0.3">
      <c r="T62" s="95"/>
      <c r="U62" s="30"/>
      <c r="V62" s="30"/>
      <c r="W62" s="30"/>
      <c r="X62" s="30"/>
      <c r="Y62" s="30"/>
      <c r="Z62" s="30"/>
      <c r="AA62" s="30"/>
      <c r="AB62" s="30"/>
      <c r="AC62" s="30"/>
      <c r="AD62" s="30"/>
      <c r="AE62" s="30"/>
      <c r="AF62" s="30"/>
      <c r="AG62" s="30"/>
      <c r="AH62" s="30"/>
      <c r="AI62" s="96"/>
    </row>
    <row r="63" spans="2:70" x14ac:dyDescent="0.3">
      <c r="T63" s="95"/>
      <c r="U63" s="30"/>
      <c r="V63" s="30"/>
      <c r="W63" s="30"/>
      <c r="X63" s="30"/>
      <c r="Y63" s="30"/>
      <c r="Z63" s="30"/>
      <c r="AA63" s="30"/>
      <c r="AB63" s="30"/>
      <c r="AC63" s="30"/>
      <c r="AD63" s="30"/>
      <c r="AE63" s="30"/>
      <c r="AF63" s="30"/>
      <c r="AG63" s="30"/>
      <c r="AH63" s="30"/>
      <c r="AI63" s="96"/>
    </row>
    <row r="64" spans="2:70" x14ac:dyDescent="0.3">
      <c r="T64" s="95"/>
      <c r="U64" s="30"/>
      <c r="V64" s="30"/>
      <c r="W64" s="30"/>
      <c r="X64" s="30"/>
      <c r="Y64" s="30"/>
      <c r="Z64" s="30"/>
      <c r="AA64" s="30"/>
      <c r="AB64" s="30"/>
      <c r="AC64" s="30"/>
      <c r="AD64" s="30"/>
      <c r="AE64" s="30"/>
      <c r="AF64" s="30"/>
      <c r="AG64" s="30"/>
      <c r="AH64" s="30"/>
      <c r="AI64" s="96"/>
    </row>
    <row r="65" spans="20:35" x14ac:dyDescent="0.3">
      <c r="T65" s="95"/>
      <c r="U65" s="30"/>
      <c r="V65" s="30"/>
      <c r="W65" s="30"/>
      <c r="X65" s="30"/>
      <c r="Y65" s="30"/>
      <c r="Z65" s="30"/>
      <c r="AA65" s="30"/>
      <c r="AB65" s="30"/>
      <c r="AC65" s="30"/>
      <c r="AD65" s="30"/>
      <c r="AE65" s="30"/>
      <c r="AF65" s="30"/>
      <c r="AG65" s="30"/>
      <c r="AH65" s="30"/>
      <c r="AI65" s="96"/>
    </row>
    <row r="66" spans="20:35" x14ac:dyDescent="0.3">
      <c r="T66" s="95"/>
      <c r="U66" s="30"/>
      <c r="V66" s="30"/>
      <c r="W66" s="30"/>
      <c r="X66" s="30"/>
      <c r="Y66" s="30"/>
      <c r="Z66" s="30"/>
      <c r="AA66" s="30"/>
      <c r="AB66" s="30"/>
      <c r="AC66" s="30"/>
      <c r="AD66" s="30"/>
      <c r="AE66" s="30"/>
      <c r="AF66" s="30"/>
      <c r="AG66" s="30"/>
      <c r="AH66" s="30"/>
      <c r="AI66" s="96"/>
    </row>
    <row r="67" spans="20:35" x14ac:dyDescent="0.3">
      <c r="T67" s="95"/>
      <c r="U67" s="30"/>
      <c r="V67" s="30"/>
      <c r="W67" s="30"/>
      <c r="X67" s="30"/>
      <c r="Y67" s="30"/>
      <c r="Z67" s="30"/>
      <c r="AA67" s="30"/>
      <c r="AB67" s="30"/>
      <c r="AC67" s="30"/>
      <c r="AD67" s="30"/>
      <c r="AE67" s="30"/>
      <c r="AF67" s="30"/>
      <c r="AG67" s="30"/>
      <c r="AH67" s="30"/>
      <c r="AI67" s="96"/>
    </row>
    <row r="68" spans="20:35" x14ac:dyDescent="0.3">
      <c r="T68" s="95"/>
      <c r="U68" s="30"/>
      <c r="V68" s="30"/>
      <c r="W68" s="30"/>
      <c r="X68" s="30"/>
      <c r="Y68" s="30"/>
      <c r="Z68" s="30"/>
      <c r="AA68" s="30"/>
      <c r="AB68" s="30"/>
      <c r="AC68" s="30"/>
      <c r="AD68" s="30"/>
      <c r="AE68" s="30"/>
      <c r="AF68" s="30"/>
      <c r="AG68" s="30"/>
      <c r="AH68" s="30"/>
      <c r="AI68" s="96"/>
    </row>
    <row r="69" spans="20:35" x14ac:dyDescent="0.3">
      <c r="T69" s="95"/>
      <c r="U69" s="30"/>
      <c r="V69" s="30"/>
      <c r="W69" s="30"/>
      <c r="X69" s="30"/>
      <c r="Y69" s="30"/>
      <c r="Z69" s="30"/>
      <c r="AA69" s="30"/>
      <c r="AB69" s="30"/>
      <c r="AC69" s="30"/>
      <c r="AD69" s="30"/>
      <c r="AE69" s="30"/>
      <c r="AF69" s="30"/>
      <c r="AG69" s="30"/>
      <c r="AH69" s="30"/>
      <c r="AI69" s="96"/>
    </row>
    <row r="70" spans="20:35" x14ac:dyDescent="0.3">
      <c r="T70" s="95"/>
      <c r="U70" s="30"/>
      <c r="V70" s="30"/>
      <c r="W70" s="30"/>
      <c r="X70" s="30"/>
      <c r="Y70" s="30"/>
      <c r="Z70" s="30"/>
      <c r="AA70" s="30"/>
      <c r="AB70" s="30"/>
      <c r="AC70" s="30"/>
      <c r="AD70" s="30"/>
      <c r="AE70" s="30"/>
      <c r="AF70" s="30"/>
      <c r="AG70" s="30"/>
      <c r="AH70" s="30"/>
      <c r="AI70" s="96"/>
    </row>
    <row r="71" spans="20:35" x14ac:dyDescent="0.3">
      <c r="T71" s="95"/>
      <c r="U71" s="30"/>
      <c r="V71" s="30"/>
      <c r="W71" s="30"/>
      <c r="X71" s="30"/>
      <c r="Y71" s="30"/>
      <c r="Z71" s="30"/>
      <c r="AA71" s="30"/>
      <c r="AB71" s="30"/>
      <c r="AC71" s="30"/>
      <c r="AD71" s="30"/>
      <c r="AE71" s="30"/>
      <c r="AF71" s="30"/>
      <c r="AG71" s="30"/>
      <c r="AH71" s="30"/>
      <c r="AI71" s="96"/>
    </row>
    <row r="72" spans="20:35" x14ac:dyDescent="0.3">
      <c r="T72" s="95"/>
      <c r="U72" s="30"/>
      <c r="V72" s="30"/>
      <c r="W72" s="30"/>
      <c r="X72" s="30"/>
      <c r="Y72" s="30"/>
      <c r="Z72" s="30"/>
      <c r="AA72" s="30"/>
      <c r="AB72" s="30"/>
      <c r="AC72" s="30"/>
      <c r="AD72" s="30"/>
      <c r="AE72" s="30"/>
      <c r="AF72" s="30"/>
      <c r="AG72" s="30"/>
      <c r="AH72" s="30"/>
      <c r="AI72" s="96"/>
    </row>
    <row r="73" spans="20:35" x14ac:dyDescent="0.3">
      <c r="T73" s="95"/>
      <c r="U73" s="30"/>
      <c r="V73" s="30"/>
      <c r="W73" s="30"/>
      <c r="X73" s="30"/>
      <c r="Y73" s="30"/>
      <c r="Z73" s="30"/>
      <c r="AA73" s="30"/>
      <c r="AB73" s="30"/>
      <c r="AC73" s="30"/>
      <c r="AD73" s="30"/>
      <c r="AE73" s="30"/>
      <c r="AF73" s="30"/>
      <c r="AG73" s="30"/>
      <c r="AH73" s="30"/>
      <c r="AI73" s="96"/>
    </row>
    <row r="74" spans="20:35" x14ac:dyDescent="0.3">
      <c r="T74" s="95"/>
      <c r="U74" s="30"/>
      <c r="V74" s="30"/>
      <c r="W74" s="30"/>
      <c r="X74" s="30"/>
      <c r="Y74" s="30"/>
      <c r="Z74" s="30"/>
      <c r="AA74" s="30"/>
      <c r="AB74" s="30"/>
      <c r="AC74" s="30"/>
      <c r="AD74" s="30"/>
      <c r="AE74" s="30"/>
      <c r="AF74" s="30"/>
      <c r="AG74" s="30"/>
      <c r="AH74" s="30"/>
      <c r="AI74" s="96"/>
    </row>
    <row r="75" spans="20:35" x14ac:dyDescent="0.3">
      <c r="T75" s="95"/>
      <c r="U75" s="30"/>
      <c r="V75" s="30"/>
      <c r="W75" s="30"/>
      <c r="X75" s="30"/>
      <c r="Y75" s="30"/>
      <c r="Z75" s="30"/>
      <c r="AA75" s="30"/>
      <c r="AB75" s="30"/>
      <c r="AC75" s="30"/>
      <c r="AD75" s="30"/>
      <c r="AE75" s="30"/>
      <c r="AF75" s="30"/>
      <c r="AG75" s="30"/>
      <c r="AH75" s="30"/>
      <c r="AI75" s="96"/>
    </row>
    <row r="76" spans="20:35" x14ac:dyDescent="0.3">
      <c r="T76" s="95"/>
      <c r="U76" s="30"/>
      <c r="V76" s="30"/>
      <c r="W76" s="30"/>
      <c r="X76" s="30"/>
      <c r="Y76" s="30"/>
      <c r="Z76" s="30"/>
      <c r="AA76" s="30"/>
      <c r="AB76" s="30"/>
      <c r="AC76" s="30"/>
      <c r="AD76" s="30"/>
      <c r="AE76" s="30"/>
      <c r="AF76" s="30"/>
      <c r="AG76" s="30"/>
      <c r="AH76" s="30"/>
      <c r="AI76" s="96"/>
    </row>
    <row r="77" spans="20:35" x14ac:dyDescent="0.3">
      <c r="T77" s="95"/>
      <c r="U77" s="30"/>
      <c r="V77" s="30"/>
      <c r="W77" s="30"/>
      <c r="X77" s="30"/>
      <c r="Y77" s="30"/>
      <c r="Z77" s="30"/>
      <c r="AA77" s="30"/>
      <c r="AB77" s="30"/>
      <c r="AC77" s="30"/>
      <c r="AD77" s="30"/>
      <c r="AE77" s="30"/>
      <c r="AF77" s="30"/>
      <c r="AG77" s="30"/>
      <c r="AH77" s="30"/>
      <c r="AI77" s="96"/>
    </row>
    <row r="78" spans="20:35" x14ac:dyDescent="0.3">
      <c r="T78" s="95"/>
      <c r="U78" s="30"/>
      <c r="V78" s="30"/>
      <c r="W78" s="30"/>
      <c r="X78" s="30"/>
      <c r="Y78" s="30"/>
      <c r="Z78" s="30"/>
      <c r="AA78" s="30"/>
      <c r="AB78" s="30"/>
      <c r="AC78" s="30"/>
      <c r="AD78" s="30"/>
      <c r="AE78" s="30"/>
      <c r="AF78" s="30"/>
      <c r="AG78" s="30"/>
      <c r="AH78" s="30"/>
      <c r="AI78" s="96"/>
    </row>
    <row r="79" spans="20:35" ht="15" thickBot="1" x14ac:dyDescent="0.35">
      <c r="T79" s="164"/>
      <c r="U79" s="165"/>
      <c r="V79" s="165"/>
      <c r="W79" s="165"/>
      <c r="X79" s="165"/>
      <c r="Y79" s="165"/>
      <c r="Z79" s="165"/>
      <c r="AA79" s="165"/>
      <c r="AB79" s="165"/>
      <c r="AC79" s="165"/>
      <c r="AD79" s="165"/>
      <c r="AE79" s="165"/>
      <c r="AF79" s="165"/>
      <c r="AG79" s="165"/>
      <c r="AH79" s="165"/>
      <c r="AI79" s="166"/>
    </row>
  </sheetData>
  <sheetProtection algorithmName="SHA-512" hashValue="4TTat7zx8pvIaOGwtyj8H8WSBcKZzvt6FJe2eZkHkkCJVJQoCmzHTSdxg6pMqSTXHTtCuQdDo2ZD55UHBslhDA==" saltValue="u3BLIW18b3XhDqXXzae+qA==" spinCount="100000" sheet="1" objects="1" scenarios="1"/>
  <dataConsolidate/>
  <mergeCells count="6">
    <mergeCell ref="T1:AI2"/>
    <mergeCell ref="T3:AI4"/>
    <mergeCell ref="B23:R23"/>
    <mergeCell ref="B44:R44"/>
    <mergeCell ref="B3:R3"/>
    <mergeCell ref="M6:M7"/>
  </mergeCells>
  <conditionalFormatting sqref="E7">
    <cfRule type="expression" dxfId="55" priority="14">
      <formula>AND(E7&lt;&gt;AM6,E7&lt;&gt;AM7,E7&lt;&gt;AM8,E7&lt;&gt;AM9)</formula>
    </cfRule>
  </conditionalFormatting>
  <conditionalFormatting sqref="E9">
    <cfRule type="expression" dxfId="54" priority="11">
      <formula>AND(E9&lt;&gt;AM11,E9&lt;&gt;AM12,E9&lt;&gt;AM13)</formula>
    </cfRule>
  </conditionalFormatting>
  <conditionalFormatting sqref="E11">
    <cfRule type="expression" dxfId="53" priority="8">
      <formula>AND(E11&lt;&gt;AM17,E11&lt;&gt;AM18,E11&lt;&gt;AM16)</formula>
    </cfRule>
  </conditionalFormatting>
  <conditionalFormatting sqref="E13">
    <cfRule type="expression" dxfId="52" priority="5">
      <formula>AND(E13&lt;&gt;AM25,E13&lt;&gt;AM26,E13&lt;&gt;AM27,E13&lt;&gt;AM28,E13&lt;&gt;AM29,E13&lt;&gt;AM31,E13&lt;&gt;AM32,E13&lt;&gt;AM34,E13&lt;&gt;AM35,E13&lt;&gt;AM30,E13&lt;&gt;AM36,E13&lt;&gt;AM33)</formula>
    </cfRule>
  </conditionalFormatting>
  <conditionalFormatting sqref="G7">
    <cfRule type="expression" dxfId="51" priority="19">
      <formula>AND(G7&lt;&gt;AO6,G7&lt;&gt;AO7,G7&lt;&gt;AO8,G7&lt;&gt;AO9)</formula>
    </cfRule>
  </conditionalFormatting>
  <conditionalFormatting sqref="G9">
    <cfRule type="expression" dxfId="50" priority="18">
      <formula>AND(G9&lt;&gt;AO11,G9&lt;&gt;AO12,G9&lt;&gt;AO13)</formula>
    </cfRule>
  </conditionalFormatting>
  <conditionalFormatting sqref="G11">
    <cfRule type="expression" dxfId="49" priority="17">
      <formula>AND(G11&lt;&gt;AO17,G11&lt;&gt;AO18,G11&lt;&gt;AO16)</formula>
    </cfRule>
  </conditionalFormatting>
  <conditionalFormatting sqref="G13">
    <cfRule type="expression" dxfId="48" priority="16">
      <formula>AND(G13&lt;&gt;AO25,G13&lt;&gt;AO26,G13&lt;&gt;AO27,G13&lt;&gt;AO28,G13&lt;&gt;AO29,G13&lt;&gt;AO31,G13&lt;&gt;AO32,G13&lt;&gt;AO34,G13&lt;&gt;AO35,G13&lt;&gt;AO30,G13&lt;&gt;AO36,G13&lt;&gt;AO33)</formula>
    </cfRule>
  </conditionalFormatting>
  <conditionalFormatting sqref="I7">
    <cfRule type="expression" dxfId="47" priority="13">
      <formula>AND(I7&lt;&gt;AQ6,I7&lt;&gt;AQ7,I7&lt;&gt;AQ8,I7&lt;&gt;AQ9)</formula>
    </cfRule>
  </conditionalFormatting>
  <conditionalFormatting sqref="I9">
    <cfRule type="expression" dxfId="46" priority="10">
      <formula>AND(I9&lt;&gt;AQ11,I9&lt;&gt;AQ12,I9&lt;&gt;AQ13)</formula>
    </cfRule>
  </conditionalFormatting>
  <conditionalFormatting sqref="I11">
    <cfRule type="expression" dxfId="45" priority="7">
      <formula>AND(I11&lt;&gt;AQ17,I11&lt;&gt;AQ18,I11&lt;&gt;AQ16)</formula>
    </cfRule>
  </conditionalFormatting>
  <conditionalFormatting sqref="I13">
    <cfRule type="expression" dxfId="44" priority="4">
      <formula>AND(I13&lt;&gt;AQ25,I13&lt;&gt;AQ26,I13&lt;&gt;AQ27,I13&lt;&gt;AQ28,I13&lt;&gt;AQ29,I13&lt;&gt;AQ31,I13&lt;&gt;AQ32,I13&lt;&gt;AQ34,I13&lt;&gt;AQ35,I13&lt;&gt;AQ30,I13&lt;&gt;AQ36,I13&lt;&gt;AQ33)</formula>
    </cfRule>
  </conditionalFormatting>
  <conditionalFormatting sqref="K7">
    <cfRule type="expression" dxfId="43" priority="28">
      <formula>AND(K7&lt;&gt;AS6,K7&lt;&gt;AS7,K7&lt;&gt;AS8,K7&lt;&gt;AS9)</formula>
    </cfRule>
  </conditionalFormatting>
  <conditionalFormatting sqref="K9">
    <cfRule type="expression" dxfId="42" priority="30">
      <formula>AND(Q9&lt;&gt;AS11,Q9&lt;&gt;AS12,Q9&lt;&gt;AS13)</formula>
    </cfRule>
  </conditionalFormatting>
  <conditionalFormatting sqref="K11">
    <cfRule type="expression" dxfId="41" priority="32">
      <formula>AND(Q11&lt;&gt;AS17,Q11&lt;&gt;AS18,Q11&lt;&gt;AS16)</formula>
    </cfRule>
  </conditionalFormatting>
  <conditionalFormatting sqref="K13">
    <cfRule type="expression" dxfId="40" priority="36">
      <formula>AND(K13&lt;&gt;AS25,K13&lt;&gt;AS26,K13&lt;&gt;AS27,K13&lt;&gt;AS28,K13&lt;&gt;AS29,K13&lt;&gt;AS31,K13&lt;&gt;AS32,K13&lt;&gt;AS30,K13&lt;&gt;AS36,K13&lt;&gt;AS34,K13&lt;&gt;AS35,K13&lt;&gt;AS33)</formula>
    </cfRule>
  </conditionalFormatting>
  <conditionalFormatting sqref="Q7">
    <cfRule type="expression" dxfId="39" priority="12">
      <formula>AND(R7&lt;&gt;AU6,R7&lt;&gt;AU7,R7&lt;&gt;AU8,R7&lt;&gt;AU9)</formula>
    </cfRule>
  </conditionalFormatting>
  <conditionalFormatting sqref="Q9">
    <cfRule type="expression" dxfId="38" priority="35">
      <formula>AND(R9&lt;&gt;AU11,R9&lt;&gt;#REF!,R9&lt;&gt;AU13)</formula>
    </cfRule>
  </conditionalFormatting>
  <conditionalFormatting sqref="Q11">
    <cfRule type="expression" dxfId="37" priority="6">
      <formula>AND(R11&lt;&gt;AU17,R11&lt;&gt;AU18)</formula>
    </cfRule>
  </conditionalFormatting>
  <conditionalFormatting sqref="Q13">
    <cfRule type="expression" dxfId="36" priority="37">
      <formula>AND(R13&lt;&gt;AU25,R13&lt;&gt;AU26,R13&lt;&gt;AU27,R13&lt;&gt;AU28,R13&lt;&gt;AU29,R13&lt;&gt;AU31,R13&lt;&gt;AU32,R13&lt;&gt;AU34,R13&lt;&gt;AU35)</formula>
    </cfRule>
  </conditionalFormatting>
  <dataValidations count="15">
    <dataValidation type="list" allowBlank="1" showInputMessage="1" showErrorMessage="1" sqref="E10 I10 G10 Q10 K10:L10 O10" xr:uid="{7A6BED1F-6DA3-4939-8033-AEC25E4C1995}">
      <formula1>INDIRECT("Fret"&amp;E$5)</formula1>
    </dataValidation>
    <dataValidation type="list" allowBlank="1" showInputMessage="1" showErrorMessage="1" sqref="E7 K7 I7" xr:uid="{4D679BDA-AD10-4308-A44A-1CD275CB2990}">
      <formula1>_xlfn.ANCHORARRAY(AM6)</formula1>
    </dataValidation>
    <dataValidation type="list" allowBlank="1" showInputMessage="1" showErrorMessage="1" sqref="E9 K9 I9 G9" xr:uid="{2736BC90-392E-495F-BB6D-B1BD33FAEDEF}">
      <formula1>_xlfn.ANCHORARRAY(AM11)</formula1>
    </dataValidation>
    <dataValidation type="list" allowBlank="1" showInputMessage="1" showErrorMessage="1" sqref="G11 K11 I11 E11" xr:uid="{6876FD8D-BE7E-4409-9641-B5F5D2AFE545}">
      <formula1>_xlfn.ANCHORARRAY(AM16)</formula1>
    </dataValidation>
    <dataValidation type="list" allowBlank="1" showInputMessage="1" showErrorMessage="1" sqref="K13 G13 I13 E13" xr:uid="{45EF0E43-FB2C-4924-B51B-B48F6CEB8810}">
      <formula1>_xlfn.ANCHORARRAY(AM25)</formula1>
    </dataValidation>
    <dataValidation type="list" allowBlank="1" showInputMessage="1" showErrorMessage="1" sqref="E15 G15 I15 Q15 K15:L15 N15:O15" xr:uid="{979C0827-B8EA-4E22-A3E0-1EA1C282E822}">
      <formula1>INDIRECT("Vecteur"&amp;E5)</formula1>
    </dataValidation>
    <dataValidation type="list" errorStyle="warning" allowBlank="1" sqref="G7" xr:uid="{3133DEF5-3F00-47C1-8AC0-E660914F8ABA}">
      <formula1>_xlfn.ANCHORARRAY(AO6)</formula1>
    </dataValidation>
    <dataValidation type="list" allowBlank="1" showInputMessage="1" showErrorMessage="1" sqref="Q7" xr:uid="{7AABC529-6D8E-4300-A2FC-554EDC82FB26}">
      <formula1>_xlfn.ANCHORARRAY(AS6)</formula1>
    </dataValidation>
    <dataValidation type="list" allowBlank="1" showInputMessage="1" showErrorMessage="1" sqref="Q9" xr:uid="{2C56F96C-9AC1-4FE7-A8E2-D9842E468FF2}">
      <formula1>_xlfn.ANCHORARRAY(AS11)</formula1>
    </dataValidation>
    <dataValidation type="list" allowBlank="1" showInputMessage="1" showErrorMessage="1" sqref="Q11" xr:uid="{043BB111-64D1-4E2D-9F3E-33A8DD876BBA}">
      <formula1>_xlfn.ANCHORARRAY(AS16)</formula1>
    </dataValidation>
    <dataValidation type="list" allowBlank="1" showInputMessage="1" showErrorMessage="1" sqref="Q13" xr:uid="{DF1A7F74-E209-406D-A845-C7F241F3E39A}">
      <formula1>_xlfn.ANCHORARRAY(AS25)</formula1>
    </dataValidation>
    <dataValidation type="list" allowBlank="1" showInputMessage="1" showErrorMessage="1" sqref="N7:O7 L7" xr:uid="{2040F6BF-9EC9-49CB-81FD-521EAD592003}">
      <formula1>_xlfn.ANCHORARRAY(AO6)</formula1>
    </dataValidation>
    <dataValidation type="list" allowBlank="1" showInputMessage="1" showErrorMessage="1" sqref="N9:O9 L9" xr:uid="{3FF963FC-5213-4F14-BEEE-6F5C3575D054}">
      <formula1>_xlfn.ANCHORARRAY(AO11)</formula1>
    </dataValidation>
    <dataValidation type="list" allowBlank="1" showInputMessage="1" showErrorMessage="1" sqref="N11:O11 L11" xr:uid="{991F49D5-60BD-4E9B-9BF6-82D9108CAC11}">
      <formula1>_xlfn.ANCHORARRAY(AO16)</formula1>
    </dataValidation>
    <dataValidation type="list" allowBlank="1" showInputMessage="1" showErrorMessage="1" sqref="N13:O13 L13" xr:uid="{F9B647DA-C6A2-4573-9C80-F1EEC1F46E6B}">
      <formula1>_xlfn.ANCHORARRAY(AO25)</formula1>
    </dataValidation>
  </dataValidations>
  <pageMargins left="0.7" right="0.7" top="0.75" bottom="0.75" header="0.3" footer="0.3"/>
  <pageSetup paperSize="9" orientation="portrait" r:id="rId1"/>
  <ignoredErrors>
    <ignoredError sqref="B27 B31 B35 B39 E25:Q41 E47:Q53 Q18 F54:P54"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B0BA5C-0814-496B-B1A3-6E1D9FB249B1}">
          <x14:formula1>
            <xm:f>_xlfn.ANCHORARRAY(Liste!$A$4)</xm:f>
          </x14:formula1>
          <xm:sqref>E5 G5 I5 K5:L5 N5:O5</xm:sqref>
        </x14:dataValidation>
        <x14:dataValidation type="list" allowBlank="1" showInputMessage="1" showErrorMessage="1" xr:uid="{F6383DEF-A85E-4091-AC8C-1D683A5AAAFE}">
          <x14:formula1>
            <xm:f>Liste!$K$4:$K$5</xm:f>
          </x14:formula1>
          <xm:sqref>M15</xm:sqref>
        </x14:dataValidation>
        <x14:dataValidation type="list" allowBlank="1" showInputMessage="1" showErrorMessage="1" xr:uid="{D84FCD95-8F45-4149-BC80-A6352987D406}">
          <x14:formula1>
            <xm:f>Liste!$K$25:$K$33</xm:f>
          </x14:formula1>
          <xm:sqref>G16 N16:O16 K16:L16 Q16 E16 I16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96BD-77B9-4278-B25F-8EEA1E6D3E0E}">
  <sheetPr>
    <tabColor theme="9"/>
  </sheetPr>
  <dimension ref="A1:AK59"/>
  <sheetViews>
    <sheetView showGridLines="0" zoomScale="110" zoomScaleNormal="110" workbookViewId="0">
      <selection activeCell="O9" sqref="O9"/>
    </sheetView>
  </sheetViews>
  <sheetFormatPr baseColWidth="10" defaultRowHeight="14.4" x14ac:dyDescent="0.3"/>
  <cols>
    <col min="1" max="1" width="4" customWidth="1"/>
    <col min="3" max="3" width="18.44140625" customWidth="1"/>
    <col min="4" max="4" width="2.6640625" customWidth="1"/>
    <col min="5" max="5" width="17.88671875" bestFit="1" customWidth="1"/>
    <col min="6" max="6" width="5.88671875" customWidth="1"/>
    <col min="7" max="7" width="17.88671875" bestFit="1" customWidth="1"/>
    <col min="8" max="8" width="4.6640625" customWidth="1"/>
    <col min="9" max="9" width="17.88671875" bestFit="1" customWidth="1"/>
    <col min="10" max="10" width="6.5546875" customWidth="1"/>
    <col min="11" max="11" width="14" bestFit="1" customWidth="1"/>
    <col min="12" max="12" width="10.33203125" customWidth="1"/>
    <col min="13" max="13" width="20.109375" customWidth="1"/>
    <col min="14" max="14" width="5.33203125" customWidth="1"/>
    <col min="15" max="15" width="5.44140625" customWidth="1"/>
    <col min="16" max="16" width="22.109375" customWidth="1"/>
    <col min="18" max="18" width="4" customWidth="1"/>
  </cols>
  <sheetData>
    <row r="1" spans="1:37" ht="20.25" customHeight="1" thickBot="1" x14ac:dyDescent="0.6">
      <c r="A1" s="186" t="s">
        <v>0</v>
      </c>
      <c r="B1" s="186"/>
      <c r="C1" s="186"/>
      <c r="D1" s="186"/>
      <c r="E1" s="187" t="s">
        <v>1</v>
      </c>
      <c r="F1" s="187"/>
      <c r="G1" s="187"/>
      <c r="H1" s="187"/>
      <c r="S1" s="263"/>
      <c r="T1" s="263"/>
      <c r="U1" s="263"/>
      <c r="V1" s="263"/>
      <c r="W1" s="263"/>
      <c r="X1" s="263"/>
      <c r="Y1" s="263"/>
      <c r="Z1" s="263"/>
      <c r="AA1" s="263"/>
      <c r="AB1" s="263"/>
      <c r="AC1" s="263"/>
      <c r="AD1" s="263"/>
      <c r="AE1" s="263"/>
      <c r="AF1" s="263"/>
      <c r="AG1" s="263"/>
      <c r="AH1" s="263"/>
      <c r="AI1" s="263"/>
      <c r="AJ1" s="263"/>
      <c r="AK1" s="263"/>
    </row>
    <row r="2" spans="1:37" ht="15" thickBot="1" x14ac:dyDescent="0.35">
      <c r="S2" s="217"/>
      <c r="T2" s="218"/>
      <c r="U2" s="218"/>
      <c r="V2" s="218"/>
      <c r="W2" s="218"/>
      <c r="X2" s="218"/>
      <c r="Y2" s="218"/>
      <c r="Z2" s="218"/>
      <c r="AA2" s="218"/>
      <c r="AB2" s="218"/>
      <c r="AC2" s="218"/>
      <c r="AD2" s="218"/>
      <c r="AE2" s="218"/>
      <c r="AF2" s="218"/>
      <c r="AG2" s="218"/>
      <c r="AH2" s="218"/>
      <c r="AI2" s="218"/>
      <c r="AJ2" s="218"/>
      <c r="AK2" s="219"/>
    </row>
    <row r="3" spans="1:37" ht="23.4" x14ac:dyDescent="0.45">
      <c r="B3" s="220"/>
      <c r="C3" s="221"/>
      <c r="D3" s="221"/>
      <c r="E3" s="221"/>
      <c r="F3" s="221"/>
      <c r="G3" s="221"/>
      <c r="H3" s="221"/>
      <c r="I3" s="221"/>
      <c r="J3" s="221" t="s">
        <v>3</v>
      </c>
      <c r="K3" s="221"/>
      <c r="L3" s="221"/>
      <c r="M3" s="221"/>
      <c r="N3" s="221"/>
      <c r="O3" s="221"/>
      <c r="P3" s="221"/>
      <c r="Q3" s="222"/>
      <c r="S3" s="95"/>
      <c r="T3" s="30"/>
      <c r="U3" s="30"/>
      <c r="V3" s="30"/>
      <c r="W3" s="30"/>
      <c r="X3" s="30"/>
      <c r="Y3" s="30"/>
      <c r="Z3" s="30"/>
      <c r="AA3" s="30"/>
      <c r="AB3" s="30"/>
      <c r="AC3" s="30"/>
      <c r="AD3" s="30"/>
      <c r="AE3" s="30"/>
      <c r="AF3" s="30"/>
      <c r="AG3" s="30"/>
      <c r="AH3" s="30"/>
      <c r="AI3" s="30"/>
      <c r="AJ3" s="30"/>
      <c r="AK3" s="96"/>
    </row>
    <row r="4" spans="1:37" ht="18.600000000000001" thickBot="1" x14ac:dyDescent="0.4">
      <c r="B4" s="207"/>
      <c r="C4" s="223" t="s">
        <v>5</v>
      </c>
      <c r="D4" s="224"/>
      <c r="E4" s="189">
        <v>1</v>
      </c>
      <c r="F4" s="189"/>
      <c r="G4" s="189">
        <v>2</v>
      </c>
      <c r="H4" s="189"/>
      <c r="I4" s="189">
        <v>3</v>
      </c>
      <c r="J4" s="189"/>
      <c r="K4" s="189">
        <v>4</v>
      </c>
      <c r="L4" s="189"/>
      <c r="M4" s="189" t="s">
        <v>282</v>
      </c>
      <c r="N4" s="189"/>
      <c r="O4" s="189"/>
      <c r="P4" s="189" t="s">
        <v>284</v>
      </c>
      <c r="Q4" s="225"/>
      <c r="S4" s="95"/>
      <c r="T4" s="30"/>
      <c r="U4" s="30"/>
      <c r="V4" s="30"/>
      <c r="W4" s="30"/>
      <c r="X4" s="30"/>
      <c r="Y4" s="30"/>
      <c r="Z4" s="30"/>
      <c r="AA4" s="30"/>
      <c r="AB4" s="30"/>
      <c r="AC4" s="30"/>
      <c r="AD4" s="30"/>
      <c r="AE4" s="30"/>
      <c r="AF4" s="30"/>
      <c r="AG4" s="30"/>
      <c r="AH4" s="30"/>
      <c r="AI4" s="30"/>
      <c r="AJ4" s="30"/>
      <c r="AK4" s="96"/>
    </row>
    <row r="5" spans="1:37" ht="15" customHeight="1" x14ac:dyDescent="0.3">
      <c r="B5" s="207"/>
      <c r="C5" s="214" t="s">
        <v>314</v>
      </c>
      <c r="D5" s="208"/>
      <c r="E5" s="195" t="s">
        <v>9</v>
      </c>
      <c r="F5" s="209"/>
      <c r="G5" s="195" t="s">
        <v>52</v>
      </c>
      <c r="H5" s="209"/>
      <c r="I5" s="195" t="s">
        <v>8</v>
      </c>
      <c r="J5" s="209"/>
      <c r="K5" s="195" t="s">
        <v>52</v>
      </c>
      <c r="L5" s="209"/>
      <c r="M5" s="264" t="s">
        <v>283</v>
      </c>
      <c r="N5" s="209"/>
      <c r="O5" s="209"/>
      <c r="P5" s="216" t="s">
        <v>9</v>
      </c>
      <c r="Q5" s="206"/>
      <c r="S5" s="95"/>
      <c r="T5" s="30"/>
      <c r="U5" s="30"/>
      <c r="V5" s="30"/>
      <c r="W5" s="30"/>
      <c r="X5" s="30"/>
      <c r="Y5" s="30"/>
      <c r="Z5" s="30"/>
      <c r="AA5" s="30"/>
      <c r="AB5" s="30"/>
      <c r="AC5" s="30"/>
      <c r="AD5" s="30"/>
      <c r="AE5" s="30"/>
      <c r="AF5" s="30"/>
      <c r="AG5" s="30"/>
      <c r="AH5" s="30"/>
      <c r="AI5" s="30"/>
      <c r="AJ5" s="30"/>
      <c r="AK5" s="96"/>
    </row>
    <row r="6" spans="1:37" ht="15" thickBot="1" x14ac:dyDescent="0.35">
      <c r="B6" s="207"/>
      <c r="C6" s="209"/>
      <c r="D6" s="208"/>
      <c r="E6" s="210"/>
      <c r="F6" s="209"/>
      <c r="G6" s="210"/>
      <c r="H6" s="209"/>
      <c r="I6" s="210"/>
      <c r="J6" s="209"/>
      <c r="K6" s="210"/>
      <c r="L6" s="209"/>
      <c r="M6" s="265"/>
      <c r="N6" s="209"/>
      <c r="O6" s="209"/>
      <c r="P6" s="210"/>
      <c r="Q6" s="206"/>
      <c r="S6" s="95"/>
      <c r="T6" s="30"/>
      <c r="U6" s="30"/>
      <c r="V6" s="30"/>
      <c r="W6" s="30"/>
      <c r="X6" s="30"/>
      <c r="Y6" s="30"/>
      <c r="Z6" s="30"/>
      <c r="AA6" s="30"/>
      <c r="AB6" s="30"/>
      <c r="AC6" s="30"/>
      <c r="AD6" s="30"/>
      <c r="AE6" s="30"/>
      <c r="AF6" s="30"/>
      <c r="AG6" s="30"/>
      <c r="AH6" s="30"/>
      <c r="AI6" s="30"/>
      <c r="AJ6" s="30"/>
      <c r="AK6" s="96"/>
    </row>
    <row r="7" spans="1:37" ht="15" thickBot="1" x14ac:dyDescent="0.35">
      <c r="B7" s="207"/>
      <c r="C7" s="215" t="s">
        <v>315</v>
      </c>
      <c r="D7" s="208"/>
      <c r="E7" s="196" t="s">
        <v>54</v>
      </c>
      <c r="F7" s="209"/>
      <c r="G7" s="196" t="s">
        <v>54</v>
      </c>
      <c r="H7" s="209"/>
      <c r="I7" s="196" t="s">
        <v>113</v>
      </c>
      <c r="J7" s="209"/>
      <c r="K7" s="196" t="s">
        <v>54</v>
      </c>
      <c r="L7" s="209"/>
      <c r="M7" s="234">
        <v>3</v>
      </c>
      <c r="N7" s="209"/>
      <c r="O7" s="209"/>
      <c r="P7" s="196" t="s">
        <v>54</v>
      </c>
      <c r="Q7" s="206"/>
      <c r="S7" s="95"/>
      <c r="T7" s="30"/>
      <c r="U7" s="30"/>
      <c r="V7" s="30"/>
      <c r="W7" s="30"/>
      <c r="X7" s="30"/>
      <c r="Y7" s="30"/>
      <c r="Z7" s="30"/>
      <c r="AA7" s="30"/>
      <c r="AB7" s="30"/>
      <c r="AC7" s="30"/>
      <c r="AD7" s="30"/>
      <c r="AE7" s="30"/>
      <c r="AF7" s="30"/>
      <c r="AG7" s="30"/>
      <c r="AH7" s="30"/>
      <c r="AI7" s="30"/>
      <c r="AJ7" s="30"/>
      <c r="AK7" s="96"/>
    </row>
    <row r="8" spans="1:37" x14ac:dyDescent="0.3">
      <c r="B8" s="207"/>
      <c r="C8" s="209"/>
      <c r="D8" s="208"/>
      <c r="E8" s="210"/>
      <c r="F8" s="209"/>
      <c r="G8" s="210"/>
      <c r="H8" s="209"/>
      <c r="I8" s="210"/>
      <c r="J8" s="209"/>
      <c r="K8" s="210"/>
      <c r="L8" s="209"/>
      <c r="M8" s="210"/>
      <c r="N8" s="209"/>
      <c r="O8" s="209"/>
      <c r="P8" s="210"/>
      <c r="Q8" s="206"/>
      <c r="S8" s="95"/>
      <c r="T8" s="30"/>
      <c r="U8" s="30"/>
      <c r="V8" s="30"/>
      <c r="W8" s="30"/>
      <c r="X8" s="30"/>
      <c r="Y8" s="30"/>
      <c r="Z8" s="30"/>
      <c r="AA8" s="30"/>
      <c r="AB8" s="30"/>
      <c r="AC8" s="30"/>
      <c r="AD8" s="30"/>
      <c r="AE8" s="30"/>
      <c r="AF8" s="30"/>
      <c r="AG8" s="30"/>
      <c r="AH8" s="30"/>
      <c r="AI8" s="30"/>
      <c r="AJ8" s="30"/>
      <c r="AK8" s="96"/>
    </row>
    <row r="9" spans="1:37" x14ac:dyDescent="0.3">
      <c r="B9" s="207"/>
      <c r="C9" s="214" t="s">
        <v>285</v>
      </c>
      <c r="D9" s="208"/>
      <c r="E9" s="196" t="s">
        <v>328</v>
      </c>
      <c r="F9" s="209"/>
      <c r="G9" s="196" t="s">
        <v>328</v>
      </c>
      <c r="H9" s="209"/>
      <c r="I9" s="196" t="s">
        <v>340</v>
      </c>
      <c r="J9" s="209"/>
      <c r="K9" s="196" t="s">
        <v>328</v>
      </c>
      <c r="L9" s="209"/>
      <c r="M9" s="86" t="s">
        <v>26</v>
      </c>
      <c r="N9" s="209"/>
      <c r="O9" s="209"/>
      <c r="P9" s="196" t="s">
        <v>328</v>
      </c>
      <c r="Q9" s="206"/>
      <c r="S9" s="95"/>
      <c r="T9" s="30"/>
      <c r="U9" s="30"/>
      <c r="V9" s="30"/>
      <c r="W9" s="30"/>
      <c r="X9" s="30"/>
      <c r="Y9" s="30"/>
      <c r="Z9" s="30"/>
      <c r="AA9" s="30"/>
      <c r="AB9" s="30"/>
      <c r="AC9" s="30"/>
      <c r="AD9" s="30"/>
      <c r="AE9" s="30"/>
      <c r="AF9" s="30"/>
      <c r="AG9" s="30"/>
      <c r="AH9" s="30"/>
      <c r="AI9" s="30"/>
      <c r="AJ9" s="30"/>
      <c r="AK9" s="96"/>
    </row>
    <row r="10" spans="1:37" x14ac:dyDescent="0.3">
      <c r="B10" s="207"/>
      <c r="C10" s="212"/>
      <c r="D10" s="208"/>
      <c r="E10" s="210"/>
      <c r="F10" s="209"/>
      <c r="G10" s="210"/>
      <c r="H10" s="209"/>
      <c r="I10" s="210"/>
      <c r="J10" s="209"/>
      <c r="K10" s="210"/>
      <c r="L10" s="209"/>
      <c r="M10" s="213"/>
      <c r="N10" s="209"/>
      <c r="O10" s="209"/>
      <c r="P10" s="210"/>
      <c r="Q10" s="206"/>
      <c r="S10" s="95"/>
      <c r="T10" s="30"/>
      <c r="U10" s="30"/>
      <c r="V10" s="30"/>
      <c r="W10" s="30"/>
      <c r="X10" s="30"/>
      <c r="Y10" s="30"/>
      <c r="Z10" s="30"/>
      <c r="AA10" s="30"/>
      <c r="AB10" s="30"/>
      <c r="AC10" s="30"/>
      <c r="AD10" s="30"/>
      <c r="AE10" s="30"/>
      <c r="AF10" s="30"/>
      <c r="AG10" s="30"/>
      <c r="AH10" s="30"/>
      <c r="AI10" s="30"/>
      <c r="AJ10" s="30"/>
      <c r="AK10" s="96"/>
    </row>
    <row r="11" spans="1:37" ht="15" thickBot="1" x14ac:dyDescent="0.35">
      <c r="B11" s="207"/>
      <c r="C11" s="211" t="s">
        <v>304</v>
      </c>
      <c r="D11" s="208"/>
      <c r="E11" s="231">
        <v>100</v>
      </c>
      <c r="F11" s="209"/>
      <c r="G11" s="231">
        <v>120</v>
      </c>
      <c r="H11" s="209"/>
      <c r="I11" s="231">
        <v>500</v>
      </c>
      <c r="J11" s="209"/>
      <c r="K11" s="231">
        <v>150</v>
      </c>
      <c r="L11" s="209"/>
      <c r="M11" s="231">
        <v>50</v>
      </c>
      <c r="N11" s="209"/>
      <c r="O11" s="209"/>
      <c r="P11" s="232">
        <v>300</v>
      </c>
      <c r="Q11" s="206"/>
      <c r="S11" s="95"/>
      <c r="T11" s="30"/>
      <c r="U11" s="30"/>
      <c r="V11" s="30"/>
      <c r="W11" s="30"/>
      <c r="X11" s="30"/>
      <c r="Y11" s="30"/>
      <c r="Z11" s="30"/>
      <c r="AA11" s="30"/>
      <c r="AB11" s="30"/>
      <c r="AC11" s="30"/>
      <c r="AD11" s="30"/>
      <c r="AE11" s="30"/>
      <c r="AF11" s="30"/>
      <c r="AG11" s="30"/>
      <c r="AH11" s="30"/>
      <c r="AI11" s="30"/>
      <c r="AJ11" s="30"/>
      <c r="AK11" s="96"/>
    </row>
    <row r="12" spans="1:37" ht="15" thickBot="1" x14ac:dyDescent="0.35">
      <c r="B12" s="197"/>
      <c r="C12" s="198"/>
      <c r="D12" s="198"/>
      <c r="E12" s="199"/>
      <c r="F12" s="199"/>
      <c r="G12" s="199"/>
      <c r="H12" s="199"/>
      <c r="I12" s="199"/>
      <c r="J12" s="199"/>
      <c r="K12" s="199"/>
      <c r="L12" s="199"/>
      <c r="M12" s="199"/>
      <c r="N12" s="199"/>
      <c r="O12" s="199"/>
      <c r="P12" s="199"/>
      <c r="Q12" s="200"/>
      <c r="S12" s="95"/>
      <c r="T12" s="30"/>
      <c r="U12" s="30"/>
      <c r="V12" s="30"/>
      <c r="W12" s="30"/>
      <c r="X12" s="30"/>
      <c r="Y12" s="30"/>
      <c r="Z12" s="30"/>
      <c r="AA12" s="30"/>
      <c r="AB12" s="30"/>
      <c r="AC12" s="30"/>
      <c r="AD12" s="30"/>
      <c r="AE12" s="30"/>
      <c r="AF12" s="30"/>
      <c r="AG12" s="30"/>
      <c r="AH12" s="30"/>
      <c r="AI12" s="30"/>
      <c r="AJ12" s="30"/>
      <c r="AK12" s="96"/>
    </row>
    <row r="13" spans="1:37" ht="15" thickBot="1" x14ac:dyDescent="0.35">
      <c r="S13" s="95"/>
      <c r="T13" s="30"/>
      <c r="U13" s="30"/>
      <c r="V13" s="30"/>
      <c r="W13" s="30"/>
      <c r="X13" s="30"/>
      <c r="Y13" s="30"/>
      <c r="Z13" s="30"/>
      <c r="AA13" s="30"/>
      <c r="AB13" s="30"/>
      <c r="AC13" s="30"/>
      <c r="AD13" s="30"/>
      <c r="AE13" s="30"/>
      <c r="AF13" s="30"/>
      <c r="AG13" s="30"/>
      <c r="AH13" s="30"/>
      <c r="AI13" s="30"/>
      <c r="AJ13" s="30"/>
      <c r="AK13" s="96"/>
    </row>
    <row r="14" spans="1:37" ht="15" customHeight="1" x14ac:dyDescent="0.3">
      <c r="B14" s="106"/>
      <c r="C14" s="107"/>
      <c r="D14" s="107"/>
      <c r="E14" s="107"/>
      <c r="F14" s="107"/>
      <c r="G14" s="107"/>
      <c r="H14" s="107"/>
      <c r="I14" s="107" t="s">
        <v>316</v>
      </c>
      <c r="J14" s="107"/>
      <c r="K14" s="107"/>
      <c r="L14" s="107"/>
      <c r="M14" s="107"/>
      <c r="N14" s="107"/>
      <c r="O14" s="107"/>
      <c r="P14" s="107"/>
      <c r="Q14" s="108"/>
      <c r="S14" s="95"/>
      <c r="T14" s="30"/>
      <c r="U14" s="30"/>
      <c r="V14" s="30"/>
      <c r="W14" s="30"/>
      <c r="X14" s="30"/>
      <c r="Y14" s="30"/>
      <c r="Z14" s="30"/>
      <c r="AA14" s="30"/>
      <c r="AB14" s="30"/>
      <c r="AC14" s="30"/>
      <c r="AD14" s="30"/>
      <c r="AE14" s="30"/>
      <c r="AF14" s="30"/>
      <c r="AG14" s="30"/>
      <c r="AH14" s="30"/>
      <c r="AI14" s="30"/>
      <c r="AJ14" s="30"/>
      <c r="AK14" s="96"/>
    </row>
    <row r="15" spans="1:37" ht="15" customHeight="1" x14ac:dyDescent="0.3">
      <c r="B15" s="109"/>
      <c r="C15" s="110"/>
      <c r="D15" s="110"/>
      <c r="E15" s="110"/>
      <c r="F15" s="110"/>
      <c r="G15" s="110"/>
      <c r="H15" s="110"/>
      <c r="I15" s="110"/>
      <c r="J15" s="110"/>
      <c r="K15" s="110"/>
      <c r="L15" s="110"/>
      <c r="M15" s="110"/>
      <c r="N15" s="110"/>
      <c r="O15" s="110"/>
      <c r="P15" s="110"/>
      <c r="Q15" s="111"/>
      <c r="S15" s="95"/>
      <c r="T15" s="30"/>
      <c r="U15" s="30"/>
      <c r="V15" s="30"/>
      <c r="W15" s="30"/>
      <c r="X15" s="30"/>
      <c r="Y15" s="30"/>
      <c r="Z15" s="30"/>
      <c r="AA15" s="30"/>
      <c r="AB15" s="30"/>
      <c r="AC15" s="30"/>
      <c r="AD15" s="30"/>
      <c r="AE15" s="30"/>
      <c r="AF15" s="30"/>
      <c r="AG15" s="30"/>
      <c r="AH15" s="30"/>
      <c r="AI15" s="30"/>
      <c r="AJ15" s="30"/>
      <c r="AK15" s="96"/>
    </row>
    <row r="16" spans="1:37" x14ac:dyDescent="0.3">
      <c r="B16" s="113"/>
      <c r="C16" s="114"/>
      <c r="D16" s="115"/>
      <c r="E16" s="118"/>
      <c r="F16" s="118"/>
      <c r="G16" s="118"/>
      <c r="H16" s="118"/>
      <c r="I16" s="118"/>
      <c r="J16" s="118"/>
      <c r="K16" s="118"/>
      <c r="L16" s="118"/>
      <c r="M16" s="118"/>
      <c r="N16" s="118"/>
      <c r="O16" s="118"/>
      <c r="P16" s="118"/>
      <c r="Q16" s="123"/>
      <c r="S16" s="95"/>
      <c r="T16" s="30"/>
      <c r="U16" s="30"/>
      <c r="V16" s="30"/>
      <c r="W16" s="30"/>
      <c r="X16" s="30"/>
      <c r="Y16" s="30"/>
      <c r="Z16" s="30"/>
      <c r="AA16" s="30"/>
      <c r="AB16" s="30"/>
      <c r="AC16" s="30"/>
      <c r="AD16" s="30"/>
      <c r="AE16" s="30"/>
      <c r="AF16" s="30"/>
      <c r="AG16" s="30"/>
      <c r="AH16" s="30"/>
      <c r="AI16" s="30"/>
      <c r="AJ16" s="30"/>
      <c r="AK16" s="96"/>
    </row>
    <row r="17" spans="2:37" x14ac:dyDescent="0.3">
      <c r="B17" s="124" t="s">
        <v>261</v>
      </c>
      <c r="C17" s="125" t="s">
        <v>34</v>
      </c>
      <c r="D17" s="122"/>
      <c r="E17" s="126">
        <f>(SUMIFS(Tableau6[[#All],[CO2-eq. ]],Tableau6[[#All],[Carburant]],E$9,Tableau6[[#All],[mode de transport]],E$5,Tableau6[[#All],[Type d''émissions]],'Calculateur- Conso'!$C$17))*E$11/1000</f>
        <v>251.66399999999999</v>
      </c>
      <c r="F17" s="127"/>
      <c r="G17" s="126">
        <f>(SUMIFS(Tableau6[[#All],[CO2-eq. ]],Tableau6[[#All],[Carburant]],G$9,Tableau6[[#All],[mode de transport]],G$5,Tableau6[[#All],[Type d''émissions]],'Calculateur- Conso'!$C$17))*G$11/1000</f>
        <v>300.27110399999992</v>
      </c>
      <c r="H17" s="127"/>
      <c r="I17" s="126">
        <f>(SUMIFS(Tableau6[[#All],[CO2-eq. ]],Tableau6[[#All],[Carburant]],I$9,Tableau6[[#All],[mode de transport]],I$5,Tableau6[[#All],[Type d''émissions]],'Calculateur- Conso'!$C$17))*I$11/1000</f>
        <v>0</v>
      </c>
      <c r="J17" s="127"/>
      <c r="K17" s="126">
        <f>(SUMIFS(Tableau6[[#All],[CO2-eq. ]],Tableau6[[#All],[Carburant]],K$9,Tableau6[[#All],[mode de transport]],K$5,Tableau6[[#All],[Type d''émissions]],'Calculateur- Conso'!$C$17))*K$11/1000</f>
        <v>375.33887999999996</v>
      </c>
      <c r="L17" s="128"/>
      <c r="M17" s="128"/>
      <c r="N17" s="128"/>
      <c r="O17" s="201">
        <f>SUM(E17,G17,I17,K17)</f>
        <v>927.27398399999993</v>
      </c>
      <c r="P17" s="126">
        <f>(SUMIFS(Tableau6[[#All],[CO2-eq. ]],Tableau6[[#All],[Carburant]],P$9,Tableau6[[#All],[mode de transport]],P$5,Tableau6[[#All],[Type d''émissions]],'Calculateur- Conso'!$C$17))*P$11/1000</f>
        <v>754.99199999999996</v>
      </c>
      <c r="Q17" s="130"/>
      <c r="S17" s="95"/>
      <c r="T17" s="30"/>
      <c r="U17" s="30"/>
      <c r="V17" s="30"/>
      <c r="W17" s="30"/>
      <c r="X17" s="30"/>
      <c r="Y17" s="30"/>
      <c r="Z17" s="30"/>
      <c r="AA17" s="30"/>
      <c r="AB17" s="30"/>
      <c r="AC17" s="30"/>
      <c r="AD17" s="30"/>
      <c r="AE17" s="30"/>
      <c r="AF17" s="30"/>
      <c r="AG17" s="30"/>
      <c r="AH17" s="30"/>
      <c r="AI17" s="30"/>
      <c r="AJ17" s="30"/>
      <c r="AK17" s="96"/>
    </row>
    <row r="18" spans="2:37" x14ac:dyDescent="0.3">
      <c r="B18" s="202"/>
      <c r="C18" s="125" t="s">
        <v>35</v>
      </c>
      <c r="D18" s="122"/>
      <c r="E18" s="126">
        <f>(SUMIFS(Tableau6[[#All],[CO2-eq. ]],Tableau6[[#All],[Carburant]],E$9,Tableau6[[#All],[mode de transport]],E$5,Tableau6[[#All],[Type d''émissions]],'Calculateur- Conso'!$C$18))*E$11/1000</f>
        <v>79.453919999999997</v>
      </c>
      <c r="F18" s="127"/>
      <c r="G18" s="126">
        <f>(SUMIFS(Tableau6[[#All],[CO2-eq. ]],Tableau6[[#All],[Carburant]],G$9,Tableau6[[#All],[mode de transport]],G$5,Tableau6[[#All],[Type d''émissions]],'Calculateur- Conso'!$C$18))*G$11/1000</f>
        <v>95.344703999999993</v>
      </c>
      <c r="H18" s="127"/>
      <c r="I18" s="126">
        <f>(SUMIFS(Tableau6[[#All],[CO2-eq. ]],Tableau6[[#All],[Carburant]],I$9,Tableau6[[#All],[mode de transport]],I$5,Tableau6[[#All],[Type d''émissions]],'Calculateur- Conso'!$C$18))*I$11/1000</f>
        <v>0</v>
      </c>
      <c r="J18" s="127"/>
      <c r="K18" s="126">
        <f>(SUMIFS(Tableau6[[#All],[CO2-eq. ]],Tableau6[[#All],[Carburant]],K$9,Tableau6[[#All],[mode de transport]],K$5,Tableau6[[#All],[Type d''émissions]],'Calculateur- Conso'!$C$18))*K$11/1000</f>
        <v>119.18087999999999</v>
      </c>
      <c r="L18" s="128"/>
      <c r="M18" s="128"/>
      <c r="N18" s="128"/>
      <c r="O18" s="201">
        <f>SUM(E18,G18,I18,K18)</f>
        <v>293.97950399999996</v>
      </c>
      <c r="P18" s="126">
        <f>(SUMIFS(Tableau6[[#All],[CO2-eq. ]],Tableau6[[#All],[Carburant]],P$9,Tableau6[[#All],[mode de transport]],P$5,Tableau6[[#All],[Type d''émissions]],'Calculateur- Conso'!$C$18))*P$11/1000</f>
        <v>238.36175999999998</v>
      </c>
      <c r="Q18" s="130"/>
      <c r="S18" s="95"/>
      <c r="T18" s="30"/>
      <c r="U18" s="30"/>
      <c r="V18" s="30"/>
      <c r="W18" s="30"/>
      <c r="X18" s="30"/>
      <c r="Y18" s="30"/>
      <c r="Z18" s="30"/>
      <c r="AA18" s="30"/>
      <c r="AB18" s="30"/>
      <c r="AC18" s="30"/>
      <c r="AD18" s="30"/>
      <c r="AE18" s="30"/>
      <c r="AF18" s="30"/>
      <c r="AG18" s="30"/>
      <c r="AH18" s="30"/>
      <c r="AI18" s="30"/>
      <c r="AJ18" s="30"/>
      <c r="AK18" s="96"/>
    </row>
    <row r="19" spans="2:37" x14ac:dyDescent="0.3">
      <c r="B19" s="131"/>
      <c r="C19" s="125" t="s">
        <v>286</v>
      </c>
      <c r="D19" s="122"/>
      <c r="E19" s="127"/>
      <c r="F19" s="122"/>
      <c r="G19" s="127"/>
      <c r="H19" s="122"/>
      <c r="I19" s="127"/>
      <c r="J19" s="122"/>
      <c r="K19" s="127"/>
      <c r="L19" s="127"/>
      <c r="M19" s="133" cm="1">
        <f t="array" ref="M19">_xlfn.IFS(M7&gt;0,(M11*SUMIFS(Tableau9[[#All],[CO2-eq. ]],Tableau9[[#All],[Carburant ]],M9)/1000),M7=0,0)</f>
        <v>418.32300000000004</v>
      </c>
      <c r="N19" s="127"/>
      <c r="O19" s="201"/>
      <c r="P19" s="127"/>
      <c r="Q19" s="130"/>
      <c r="S19" s="95"/>
      <c r="T19" s="30"/>
      <c r="U19" s="30"/>
      <c r="V19" s="30"/>
      <c r="W19" s="30"/>
      <c r="X19" s="30"/>
      <c r="Y19" s="30"/>
      <c r="Z19" s="30"/>
      <c r="AA19" s="30"/>
      <c r="AB19" s="30"/>
      <c r="AC19" s="30"/>
      <c r="AD19" s="30"/>
      <c r="AE19" s="30"/>
      <c r="AF19" s="30"/>
      <c r="AG19" s="30"/>
      <c r="AH19" s="30"/>
      <c r="AI19" s="30"/>
      <c r="AJ19" s="30"/>
      <c r="AK19" s="96"/>
    </row>
    <row r="20" spans="2:37" x14ac:dyDescent="0.3">
      <c r="B20" s="131"/>
      <c r="C20" s="122"/>
      <c r="D20" s="122"/>
      <c r="E20" s="127"/>
      <c r="F20" s="122"/>
      <c r="G20" s="127"/>
      <c r="H20" s="122"/>
      <c r="I20" s="127"/>
      <c r="J20" s="122"/>
      <c r="K20" s="127"/>
      <c r="L20" s="127"/>
      <c r="M20" s="127"/>
      <c r="N20" s="127"/>
      <c r="O20" s="201"/>
      <c r="P20" s="127"/>
      <c r="Q20" s="130"/>
      <c r="S20" s="95"/>
      <c r="T20" s="30"/>
      <c r="U20" s="30"/>
      <c r="V20" s="30"/>
      <c r="W20" s="30"/>
      <c r="X20" s="30"/>
      <c r="Y20" s="30"/>
      <c r="Z20" s="30"/>
      <c r="AA20" s="30"/>
      <c r="AB20" s="30"/>
      <c r="AC20" s="30"/>
      <c r="AD20" s="30"/>
      <c r="AE20" s="30"/>
      <c r="AF20" s="30"/>
      <c r="AG20" s="30"/>
      <c r="AH20" s="30"/>
      <c r="AI20" s="30"/>
      <c r="AJ20" s="30"/>
      <c r="AK20" s="96"/>
    </row>
    <row r="21" spans="2:37" x14ac:dyDescent="0.3">
      <c r="B21" s="135" t="s">
        <v>259</v>
      </c>
      <c r="C21" s="136" t="s">
        <v>34</v>
      </c>
      <c r="D21" s="137"/>
      <c r="E21" s="126">
        <f>(SUMIFS(Tableau6[[#All],[SO2 ]],Tableau6[[#All],[Carburant]],E$9,Tableau6[[#All],[mode de transport]],E$5,Tableau6[[#All],[Type d''émissions]],'Calculateur- Conso'!$C$17))*E$11</f>
        <v>1.5818879999999997</v>
      </c>
      <c r="F21" s="138"/>
      <c r="G21" s="126">
        <f>(SUMIFS(Tableau6[[#All],[SO2 ]],Tableau6[[#All],[Carburant]],G$9,Tableau6[[#All],[mode de transport]],G$5,Tableau6[[#All],[Type d''émissions]],'Calculateur- Conso'!$C$17))*G$11</f>
        <v>1.8982655999999996</v>
      </c>
      <c r="H21" s="138"/>
      <c r="I21" s="126">
        <f>(SUMIFS(Tableau6[[#All],[SO2 ]],Tableau6[[#All],[Carburant]],I$9,Tableau6[[#All],[mode de transport]],I$5,Tableau6[[#All],[Type d''émissions]],'Calculateur- Conso'!$C$17))*I$11</f>
        <v>0</v>
      </c>
      <c r="J21" s="138"/>
      <c r="K21" s="126">
        <f>(SUMIFS(Tableau6[[#All],[SO2 ]],Tableau6[[#All],[Carburant]],K$9,Tableau6[[#All],[mode de transport]],K$5,Tableau6[[#All],[Type d''émissions]],'Calculateur- Conso'!$C$17))*K$11</f>
        <v>2.3728319999999994</v>
      </c>
      <c r="L21" s="138"/>
      <c r="M21" s="138"/>
      <c r="N21" s="138"/>
      <c r="O21" s="203">
        <f t="shared" ref="O21:O30" si="0">SUM(E21,G21,I21,K21)</f>
        <v>5.8529855999999985</v>
      </c>
      <c r="P21" s="126">
        <f>(SUMIFS(Tableau6[[#All],[SO2 ]],Tableau6[[#All],[Carburant]],P$9,Tableau6[[#All],[mode de transport]],P$5,Tableau6[[#All],[Type d''émissions]],'Calculateur- Conso'!$C$17))*P$11</f>
        <v>4.7456639999999988</v>
      </c>
      <c r="Q21" s="140"/>
      <c r="S21" s="95"/>
      <c r="T21" s="30"/>
      <c r="U21" s="30"/>
      <c r="V21" s="30"/>
      <c r="W21" s="30"/>
      <c r="X21" s="30"/>
      <c r="Y21" s="30"/>
      <c r="Z21" s="30"/>
      <c r="AA21" s="30"/>
      <c r="AB21" s="30"/>
      <c r="AC21" s="30"/>
      <c r="AD21" s="30"/>
      <c r="AE21" s="30"/>
      <c r="AF21" s="30"/>
      <c r="AG21" s="30"/>
      <c r="AH21" s="30"/>
      <c r="AI21" s="30"/>
      <c r="AJ21" s="30"/>
      <c r="AK21" s="96"/>
    </row>
    <row r="22" spans="2:37" x14ac:dyDescent="0.3">
      <c r="B22" s="204"/>
      <c r="C22" s="136" t="s">
        <v>35</v>
      </c>
      <c r="D22" s="137"/>
      <c r="E22" s="126">
        <f>(SUMIFS(Tableau6[[#All],[SO2 ]],Tableau6[[#All],[Carburant]],E$9,Tableau6[[#All],[mode de transport]],E$5,Tableau6[[#All],[Type d''émissions]],'Calculateur- Conso'!$C$18))*E$11</f>
        <v>337.94880000000001</v>
      </c>
      <c r="F22" s="138"/>
      <c r="G22" s="126">
        <f>(SUMIFS(Tableau6[[#All],[SO2 ]],Tableau6[[#All],[Carburant]],G$9,Tableau6[[#All],[mode de transport]],G$5,Tableau6[[#All],[Type d''émissions]],'Calculateur- Conso'!$C$18))*G$11</f>
        <v>405.53855999999996</v>
      </c>
      <c r="H22" s="138"/>
      <c r="I22" s="126">
        <f>(SUMIFS(Tableau6[[#All],[SO2 ]],Tableau6[[#All],[Carburant]],I$9,Tableau6[[#All],[mode de transport]],I$5,Tableau6[[#All],[Type d''émissions]],'Calculateur- Conso'!$C$18))*I$11</f>
        <v>0</v>
      </c>
      <c r="J22" s="138"/>
      <c r="K22" s="126">
        <f>(SUMIFS(Tableau6[[#All],[SO2 ]],Tableau6[[#All],[Carburant]],K$9,Tableau6[[#All],[mode de transport]],K$5,Tableau6[[#All],[Type d''émissions]],'Calculateur- Conso'!$C$18))*K$11</f>
        <v>506.92319999999995</v>
      </c>
      <c r="L22" s="138"/>
      <c r="M22" s="138"/>
      <c r="N22" s="138"/>
      <c r="O22" s="203">
        <f t="shared" si="0"/>
        <v>1250.4105599999998</v>
      </c>
      <c r="P22" s="126">
        <f>(SUMIFS(Tableau6[[#All],[SO2 ]],Tableau6[[#All],[Carburant]],P$9,Tableau6[[#All],[mode de transport]],P$5,Tableau6[[#All],[Type d''émissions]],'Calculateur- Conso'!$C$18))*P$11</f>
        <v>1013.8463999999999</v>
      </c>
      <c r="Q22" s="140"/>
      <c r="S22" s="95"/>
      <c r="T22" s="30"/>
      <c r="U22" s="30"/>
      <c r="V22" s="30"/>
      <c r="W22" s="30"/>
      <c r="X22" s="30"/>
      <c r="Y22" s="30"/>
      <c r="Z22" s="30"/>
      <c r="AA22" s="30"/>
      <c r="AB22" s="30"/>
      <c r="AC22" s="30"/>
      <c r="AD22" s="30"/>
      <c r="AE22" s="30"/>
      <c r="AF22" s="30"/>
      <c r="AG22" s="30"/>
      <c r="AH22" s="30"/>
      <c r="AI22" s="30"/>
      <c r="AJ22" s="30"/>
      <c r="AK22" s="96"/>
    </row>
    <row r="23" spans="2:37" x14ac:dyDescent="0.3">
      <c r="B23" s="135"/>
      <c r="C23" s="136" t="s">
        <v>286</v>
      </c>
      <c r="D23" s="137"/>
      <c r="E23" s="205"/>
      <c r="F23" s="138"/>
      <c r="G23" s="205"/>
      <c r="H23" s="138"/>
      <c r="I23" s="205"/>
      <c r="J23" s="138"/>
      <c r="K23" s="205"/>
      <c r="L23" s="138"/>
      <c r="M23" s="133" cm="1">
        <f t="array" ref="M23">_xlfn.IFS(M7&gt;0,(M11*SUMIFS(Tableau9[[#All],[SO2 ]],Tableau9[[#All],[Carburant ]],M9)/1000),M7=0,0)</f>
        <v>2.6849999999999999E-3</v>
      </c>
      <c r="N23" s="138"/>
      <c r="O23" s="203"/>
      <c r="P23" s="205"/>
      <c r="Q23" s="140"/>
      <c r="S23" s="95"/>
      <c r="T23" s="30"/>
      <c r="U23" s="30"/>
      <c r="V23" s="30"/>
      <c r="W23" s="30"/>
      <c r="X23" s="30"/>
      <c r="Y23" s="30"/>
      <c r="Z23" s="30"/>
      <c r="AA23" s="30"/>
      <c r="AB23" s="30"/>
      <c r="AC23" s="30"/>
      <c r="AD23" s="30"/>
      <c r="AE23" s="30"/>
      <c r="AF23" s="30"/>
      <c r="AG23" s="30"/>
      <c r="AH23" s="30"/>
      <c r="AI23" s="30"/>
      <c r="AJ23" s="30"/>
      <c r="AK23" s="96"/>
    </row>
    <row r="24" spans="2:37" x14ac:dyDescent="0.3">
      <c r="B24" s="142"/>
      <c r="C24" s="137"/>
      <c r="D24" s="137"/>
      <c r="E24" s="138"/>
      <c r="F24" s="137"/>
      <c r="G24" s="138"/>
      <c r="H24" s="137"/>
      <c r="I24" s="138"/>
      <c r="J24" s="137"/>
      <c r="K24" s="138"/>
      <c r="L24" s="138"/>
      <c r="M24" s="138"/>
      <c r="N24" s="138"/>
      <c r="O24" s="203"/>
      <c r="P24" s="138"/>
      <c r="Q24" s="140"/>
      <c r="S24" s="95"/>
      <c r="T24" s="30"/>
      <c r="U24" s="30"/>
      <c r="V24" s="30"/>
      <c r="W24" s="30"/>
      <c r="X24" s="30"/>
      <c r="Y24" s="30"/>
      <c r="Z24" s="30"/>
      <c r="AA24" s="30"/>
      <c r="AB24" s="30"/>
      <c r="AC24" s="30"/>
      <c r="AD24" s="30"/>
      <c r="AE24" s="30"/>
      <c r="AF24" s="30"/>
      <c r="AG24" s="30"/>
      <c r="AH24" s="30"/>
      <c r="AI24" s="30"/>
      <c r="AJ24" s="30"/>
      <c r="AK24" s="96"/>
    </row>
    <row r="25" spans="2:37" x14ac:dyDescent="0.3">
      <c r="B25" s="135" t="s">
        <v>260</v>
      </c>
      <c r="C25" s="136" t="s">
        <v>34</v>
      </c>
      <c r="D25" s="137"/>
      <c r="E25" s="126">
        <f>(SUMIFS(Tableau6[[#All],[PM10]],Tableau6[[#All],[Carburant]],E$9,Tableau6[[#All],[mode de transport]],E$5,Tableau6[[#All],[Type d''émissions]],'Calculateur- Conso'!$C$17))*E$11</f>
        <v>0</v>
      </c>
      <c r="F25" s="138"/>
      <c r="G25" s="126">
        <f>(SUMIFS(Tableau6[[#All],[PM10]],Tableau6[[#All],[Carburant]],G$9,Tableau6[[#All],[mode de transport]],G$5,Tableau6[[#All],[Type d''émissions]],'Calculateur- Conso'!$C$17))*G$11</f>
        <v>0</v>
      </c>
      <c r="H25" s="138"/>
      <c r="I25" s="126">
        <f>(SUMIFS(Tableau6[[#All],[PM10]],Tableau6[[#All],[Carburant]],I$9,Tableau6[[#All],[mode de transport]],I$5,Tableau6[[#All],[Type d''émissions]],'Calculateur- Conso'!$C$17))*I$11</f>
        <v>0</v>
      </c>
      <c r="J25" s="138"/>
      <c r="K25" s="126">
        <f>(SUMIFS(Tableau6[[#All],[PM10]],Tableau6[[#All],[Carburant]],K$9,Tableau6[[#All],[mode de transport]],K$5,Tableau6[[#All],[Type d''émissions]],'Calculateur- Conso'!$C$17))*K$11</f>
        <v>0</v>
      </c>
      <c r="L25" s="138"/>
      <c r="M25" s="138"/>
      <c r="N25" s="138"/>
      <c r="O25" s="203">
        <f t="shared" si="0"/>
        <v>0</v>
      </c>
      <c r="P25" s="126">
        <f>(SUMIFS(Tableau6[[#All],[PM10]],Tableau6[[#All],[Carburant]],P$9,Tableau6[[#All],[mode de transport]],P$5,Tableau6[[#All],[Type d''émissions]],'Calculateur- Conso'!$C$17))*P$11</f>
        <v>0</v>
      </c>
      <c r="Q25" s="140"/>
      <c r="S25" s="95"/>
      <c r="T25" s="30"/>
      <c r="U25" s="30"/>
      <c r="V25" s="30"/>
      <c r="W25" s="30"/>
      <c r="X25" s="30"/>
      <c r="Y25" s="30"/>
      <c r="Z25" s="30"/>
      <c r="AA25" s="30"/>
      <c r="AB25" s="30"/>
      <c r="AC25" s="30"/>
      <c r="AD25" s="30"/>
      <c r="AE25" s="30"/>
      <c r="AF25" s="30"/>
      <c r="AG25" s="30"/>
      <c r="AH25" s="30"/>
      <c r="AI25" s="30"/>
      <c r="AJ25" s="30"/>
      <c r="AK25" s="96"/>
    </row>
    <row r="26" spans="2:37" x14ac:dyDescent="0.3">
      <c r="B26" s="204"/>
      <c r="C26" s="136" t="s">
        <v>35</v>
      </c>
      <c r="D26" s="137"/>
      <c r="E26" s="126">
        <f>(SUMIFS(Tableau6[[#All],[PM10]],Tableau6[[#All],[Carburant]],E$9,Tableau6[[#All],[mode de transport]],E$5,Tableau6[[#All],[Type d''émissions]],'Calculateur- Conso'!$C$18))*E$11</f>
        <v>14.380799999999999</v>
      </c>
      <c r="F26" s="138"/>
      <c r="G26" s="126">
        <f>(SUMIFS(Tableau6[[#All],[PM10]],Tableau6[[#All],[Carburant]],G$9,Tableau6[[#All],[mode de transport]],G$5,Tableau6[[#All],[Type d''émissions]],'Calculateur- Conso'!$C$18))*G$11</f>
        <v>17.256959999999999</v>
      </c>
      <c r="H26" s="138"/>
      <c r="I26" s="126">
        <f>(SUMIFS(Tableau6[[#All],[PM10]],Tableau6[[#All],[Carburant]],I$9,Tableau6[[#All],[mode de transport]],I$5,Tableau6[[#All],[Type d''émissions]],'Calculateur- Conso'!$C$18))*I$11</f>
        <v>0</v>
      </c>
      <c r="J26" s="138"/>
      <c r="K26" s="126">
        <f>(SUMIFS(Tableau6[[#All],[PM10]],Tableau6[[#All],[Carburant]],K$9,Tableau6[[#All],[mode de transport]],K$5,Tableau6[[#All],[Type d''émissions]],'Calculateur- Conso'!$C$18))*K$11</f>
        <v>21.571199999999997</v>
      </c>
      <c r="L26" s="138"/>
      <c r="M26" s="138"/>
      <c r="N26" s="138"/>
      <c r="O26" s="203">
        <f t="shared" si="0"/>
        <v>53.208959999999998</v>
      </c>
      <c r="P26" s="126">
        <f>(SUMIFS(Tableau6[[#All],[PM10]],Tableau6[[#All],[Carburant]],P$9,Tableau6[[#All],[mode de transport]],P$5,Tableau6[[#All],[Type d''émissions]],'Calculateur- Conso'!$C$18))*P$11</f>
        <v>43.142399999999995</v>
      </c>
      <c r="Q26" s="140"/>
      <c r="S26" s="95"/>
      <c r="T26" s="30"/>
      <c r="U26" s="30"/>
      <c r="V26" s="30"/>
      <c r="W26" s="30"/>
      <c r="X26" s="30"/>
      <c r="Y26" s="30"/>
      <c r="Z26" s="30"/>
      <c r="AA26" s="30"/>
      <c r="AB26" s="30"/>
      <c r="AC26" s="30"/>
      <c r="AD26" s="30"/>
      <c r="AE26" s="30"/>
      <c r="AF26" s="30"/>
      <c r="AG26" s="30"/>
      <c r="AH26" s="30"/>
      <c r="AI26" s="30"/>
      <c r="AJ26" s="30"/>
      <c r="AK26" s="96"/>
    </row>
    <row r="27" spans="2:37" x14ac:dyDescent="0.3">
      <c r="B27" s="135"/>
      <c r="C27" s="136" t="s">
        <v>286</v>
      </c>
      <c r="D27" s="137"/>
      <c r="E27" s="205"/>
      <c r="F27" s="138"/>
      <c r="G27" s="205"/>
      <c r="H27" s="138"/>
      <c r="I27" s="205"/>
      <c r="J27" s="138"/>
      <c r="K27" s="205"/>
      <c r="L27" s="138"/>
      <c r="M27" s="133" cm="1">
        <f t="array" ref="M27">_xlfn.IFS(M7&gt;0,(M11*SUMIFS(Tableau9[[#All],[PM10]],Tableau9[[#All],[Carburant ]],M9)/1000),M7=0,0)</f>
        <v>9.129000000000001E-2</v>
      </c>
      <c r="N27" s="138"/>
      <c r="O27" s="203"/>
      <c r="P27" s="205"/>
      <c r="Q27" s="140"/>
      <c r="S27" s="95"/>
      <c r="T27" s="30"/>
      <c r="U27" s="30"/>
      <c r="V27" s="30"/>
      <c r="W27" s="30"/>
      <c r="X27" s="30"/>
      <c r="Y27" s="30"/>
      <c r="Z27" s="30"/>
      <c r="AA27" s="30"/>
      <c r="AB27" s="30"/>
      <c r="AC27" s="30"/>
      <c r="AD27" s="30"/>
      <c r="AE27" s="30"/>
      <c r="AF27" s="30"/>
      <c r="AG27" s="30"/>
      <c r="AH27" s="30"/>
      <c r="AI27" s="30"/>
      <c r="AJ27" s="30"/>
      <c r="AK27" s="96"/>
    </row>
    <row r="28" spans="2:37" x14ac:dyDescent="0.3">
      <c r="B28" s="142"/>
      <c r="C28" s="137"/>
      <c r="D28" s="137"/>
      <c r="E28" s="138"/>
      <c r="F28" s="137"/>
      <c r="G28" s="138"/>
      <c r="H28" s="137"/>
      <c r="I28" s="138"/>
      <c r="J28" s="137"/>
      <c r="K28" s="138"/>
      <c r="L28" s="138"/>
      <c r="M28" s="138"/>
      <c r="N28" s="138"/>
      <c r="O28" s="203"/>
      <c r="P28" s="138"/>
      <c r="Q28" s="140"/>
      <c r="S28" s="95"/>
      <c r="T28" s="30"/>
      <c r="U28" s="30"/>
      <c r="V28" s="30"/>
      <c r="W28" s="30"/>
      <c r="X28" s="30"/>
      <c r="Y28" s="30"/>
      <c r="Z28" s="30"/>
      <c r="AA28" s="30"/>
      <c r="AB28" s="30"/>
      <c r="AC28" s="30"/>
      <c r="AD28" s="30"/>
      <c r="AE28" s="30"/>
      <c r="AF28" s="30"/>
      <c r="AG28" s="30"/>
      <c r="AH28" s="30"/>
      <c r="AI28" s="30"/>
      <c r="AJ28" s="30"/>
      <c r="AK28" s="96"/>
    </row>
    <row r="29" spans="2:37" x14ac:dyDescent="0.3">
      <c r="B29" s="135" t="s">
        <v>262</v>
      </c>
      <c r="C29" s="136" t="s">
        <v>34</v>
      </c>
      <c r="D29" s="137"/>
      <c r="E29" s="126">
        <f>(SUMIFS(Tableau6[[#All],[NOx ]],Tableau6[[#All],[Carburant]],E$9,Tableau6[[#All],[mode de transport]],E$5,Tableau6[[#All],[Type d''émissions]],'Calculateur- Conso'!$C$17))*E$11</f>
        <v>0</v>
      </c>
      <c r="F29" s="138"/>
      <c r="G29" s="126">
        <f>(SUMIFS(Tableau6[[#All],[NOx ]],Tableau6[[#All],[Carburant]],G$9,Tableau6[[#All],[mode de transport]],G$5,Tableau6[[#All],[Type d''émissions]],'Calculateur- Conso'!$C$17))*G$11</f>
        <v>0</v>
      </c>
      <c r="H29" s="138"/>
      <c r="I29" s="126">
        <f>(SUMIFS(Tableau6[[#All],[NOx ]],Tableau6[[#All],[Carburant]],I$9,Tableau6[[#All],[mode de transport]],I$5,Tableau6[[#All],[Type d''émissions]],'Calculateur- Conso'!$C$17))*I$11</f>
        <v>0</v>
      </c>
      <c r="J29" s="138"/>
      <c r="K29" s="126">
        <f>(SUMIFS(Tableau6[[#All],[NOx ]],Tableau6[[#All],[Carburant]],K$9,Tableau6[[#All],[mode de transport]],K$5,Tableau6[[#All],[Type d''émissions]],'Calculateur- Conso'!$C$17))*K$11</f>
        <v>0</v>
      </c>
      <c r="L29" s="138"/>
      <c r="M29" s="138"/>
      <c r="N29" s="138"/>
      <c r="O29" s="203">
        <f t="shared" si="0"/>
        <v>0</v>
      </c>
      <c r="P29" s="126">
        <f>(SUMIFS(Tableau6[[#All],[NOx ]],Tableau6[[#All],[Carburant]],P$9,Tableau6[[#All],[mode de transport]],P$5,Tableau6[[#All],[Type d''émissions]],'Calculateur- Conso'!$C$17))*P$11</f>
        <v>0</v>
      </c>
      <c r="Q29" s="140"/>
      <c r="S29" s="95"/>
      <c r="T29" s="30"/>
      <c r="U29" s="30"/>
      <c r="V29" s="30"/>
      <c r="W29" s="30"/>
      <c r="X29" s="30"/>
      <c r="Y29" s="30"/>
      <c r="Z29" s="30"/>
      <c r="AA29" s="30"/>
      <c r="AB29" s="30"/>
      <c r="AC29" s="30"/>
      <c r="AD29" s="30"/>
      <c r="AE29" s="30"/>
      <c r="AF29" s="30"/>
      <c r="AG29" s="30"/>
      <c r="AH29" s="30"/>
      <c r="AI29" s="30"/>
      <c r="AJ29" s="30"/>
      <c r="AK29" s="96"/>
    </row>
    <row r="30" spans="2:37" x14ac:dyDescent="0.3">
      <c r="B30" s="204"/>
      <c r="C30" s="136" t="s">
        <v>35</v>
      </c>
      <c r="D30" s="137"/>
      <c r="E30" s="126">
        <f>(SUMIFS(Tableau6[[#All],[NOx ]],Tableau6[[#All],[Carburant]],E$9,Tableau6[[#All],[mode de transport]],E$5,Tableau6[[#All],[Type d''émissions]],'Calculateur- Conso'!$C$18))*E$11</f>
        <v>118.6416</v>
      </c>
      <c r="F30" s="138"/>
      <c r="G30" s="126">
        <f>(SUMIFS(Tableau6[[#All],[NOx ]],Tableau6[[#All],[Carburant]],G$9,Tableau6[[#All],[mode de transport]],G$5,Tableau6[[#All],[Type d''émissions]],'Calculateur- Conso'!$C$18))*G$11</f>
        <v>142.36991999999998</v>
      </c>
      <c r="H30" s="138"/>
      <c r="I30" s="126">
        <f>(SUMIFS(Tableau6[[#All],[NOx ]],Tableau6[[#All],[Carburant]],I$9,Tableau6[[#All],[mode de transport]],I$5,Tableau6[[#All],[Type d''émissions]],'Calculateur- Conso'!$C$18))*I$11</f>
        <v>0</v>
      </c>
      <c r="J30" s="138"/>
      <c r="K30" s="126">
        <f>(SUMIFS(Tableau6[[#All],[NOx ]],Tableau6[[#All],[Carburant]],K$9,Tableau6[[#All],[mode de transport]],K$5,Tableau6[[#All],[Type d''émissions]],'Calculateur- Conso'!$C$18))*K$11</f>
        <v>177.96239999999997</v>
      </c>
      <c r="L30" s="138"/>
      <c r="M30" s="138"/>
      <c r="N30" s="138"/>
      <c r="O30" s="203">
        <f t="shared" si="0"/>
        <v>438.97391999999991</v>
      </c>
      <c r="P30" s="126">
        <f>(SUMIFS(Tableau6[[#All],[NOx ]],Tableau6[[#All],[Carburant]],P$9,Tableau6[[#All],[mode de transport]],P$5,Tableau6[[#All],[Type d''émissions]],'Calculateur- Conso'!$C$18))*P$11</f>
        <v>355.92479999999995</v>
      </c>
      <c r="Q30" s="140"/>
      <c r="S30" s="95"/>
      <c r="T30" s="30"/>
      <c r="U30" s="30"/>
      <c r="V30" s="30"/>
      <c r="W30" s="30"/>
      <c r="X30" s="30"/>
      <c r="Y30" s="30"/>
      <c r="Z30" s="30"/>
      <c r="AA30" s="30"/>
      <c r="AB30" s="30"/>
      <c r="AC30" s="30"/>
      <c r="AD30" s="30"/>
      <c r="AE30" s="30"/>
      <c r="AF30" s="30"/>
      <c r="AG30" s="30"/>
      <c r="AH30" s="30"/>
      <c r="AI30" s="30"/>
      <c r="AJ30" s="30"/>
      <c r="AK30" s="96"/>
    </row>
    <row r="31" spans="2:37" x14ac:dyDescent="0.3">
      <c r="B31" s="135"/>
      <c r="C31" s="136" t="s">
        <v>286</v>
      </c>
      <c r="D31" s="137"/>
      <c r="E31" s="205"/>
      <c r="F31" s="138"/>
      <c r="G31" s="205"/>
      <c r="H31" s="138"/>
      <c r="I31" s="205"/>
      <c r="J31" s="138"/>
      <c r="K31" s="205"/>
      <c r="L31" s="138"/>
      <c r="M31" s="133" cm="1">
        <f t="array" ref="M31">_xlfn.IFS(M7&gt;0,(M11*SUMIFS(Tableau9[[#All],[NOx ]],Tableau9[[#All],[Carburant ]],M9)/1000),M7=0,0)</f>
        <v>1.69692</v>
      </c>
      <c r="N31" s="138"/>
      <c r="O31" s="203"/>
      <c r="P31" s="205"/>
      <c r="Q31" s="140"/>
      <c r="S31" s="95"/>
      <c r="T31" s="30"/>
      <c r="U31" s="30"/>
      <c r="V31" s="30"/>
      <c r="W31" s="30"/>
      <c r="X31" s="30"/>
      <c r="Y31" s="30"/>
      <c r="Z31" s="30"/>
      <c r="AA31" s="30"/>
      <c r="AB31" s="30"/>
      <c r="AC31" s="30"/>
      <c r="AD31" s="30"/>
      <c r="AE31" s="30"/>
      <c r="AF31" s="30"/>
      <c r="AG31" s="30"/>
      <c r="AH31" s="30"/>
      <c r="AI31" s="30"/>
      <c r="AJ31" s="30"/>
      <c r="AK31" s="96"/>
    </row>
    <row r="32" spans="2:37" ht="15" thickBot="1" x14ac:dyDescent="0.35">
      <c r="B32" s="144"/>
      <c r="C32" s="145"/>
      <c r="D32" s="145"/>
      <c r="E32" s="145"/>
      <c r="F32" s="145"/>
      <c r="G32" s="145"/>
      <c r="H32" s="145"/>
      <c r="I32" s="145"/>
      <c r="J32" s="145"/>
      <c r="K32" s="145"/>
      <c r="L32" s="145"/>
      <c r="M32" s="145"/>
      <c r="N32" s="145"/>
      <c r="O32" s="145"/>
      <c r="P32" s="145"/>
      <c r="Q32" s="146"/>
      <c r="S32" s="95"/>
      <c r="T32" s="30"/>
      <c r="U32" s="30"/>
      <c r="V32" s="30"/>
      <c r="W32" s="30"/>
      <c r="X32" s="30"/>
      <c r="Y32" s="30"/>
      <c r="Z32" s="30"/>
      <c r="AA32" s="30"/>
      <c r="AB32" s="30"/>
      <c r="AC32" s="30"/>
      <c r="AD32" s="30"/>
      <c r="AE32" s="30"/>
      <c r="AF32" s="30"/>
      <c r="AG32" s="30"/>
      <c r="AH32" s="30"/>
      <c r="AI32" s="30"/>
      <c r="AJ32" s="30"/>
      <c r="AK32" s="96"/>
    </row>
    <row r="33" spans="19:37" x14ac:dyDescent="0.3">
      <c r="S33" s="95"/>
      <c r="T33" s="30"/>
      <c r="U33" s="30"/>
      <c r="V33" s="30"/>
      <c r="W33" s="30"/>
      <c r="X33" s="30"/>
      <c r="Y33" s="30"/>
      <c r="Z33" s="30"/>
      <c r="AA33" s="30"/>
      <c r="AB33" s="30"/>
      <c r="AC33" s="30"/>
      <c r="AD33" s="30"/>
      <c r="AE33" s="30"/>
      <c r="AF33" s="30"/>
      <c r="AG33" s="30"/>
      <c r="AH33" s="30"/>
      <c r="AI33" s="30"/>
      <c r="AJ33" s="30"/>
      <c r="AK33" s="96"/>
    </row>
    <row r="34" spans="19:37" x14ac:dyDescent="0.3">
      <c r="S34" s="95"/>
      <c r="T34" s="30"/>
      <c r="U34" s="30"/>
      <c r="V34" s="30"/>
      <c r="W34" s="30"/>
      <c r="X34" s="30"/>
      <c r="Y34" s="30"/>
      <c r="Z34" s="30"/>
      <c r="AA34" s="30"/>
      <c r="AB34" s="30"/>
      <c r="AC34" s="30"/>
      <c r="AD34" s="30"/>
      <c r="AE34" s="30"/>
      <c r="AF34" s="30"/>
      <c r="AG34" s="30"/>
      <c r="AH34" s="30"/>
      <c r="AI34" s="30"/>
      <c r="AJ34" s="30"/>
      <c r="AK34" s="96"/>
    </row>
    <row r="35" spans="19:37" x14ac:dyDescent="0.3">
      <c r="S35" s="95"/>
      <c r="T35" s="30"/>
      <c r="U35" s="30"/>
      <c r="V35" s="30"/>
      <c r="W35" s="30"/>
      <c r="X35" s="30"/>
      <c r="Y35" s="30"/>
      <c r="Z35" s="30"/>
      <c r="AA35" s="30"/>
      <c r="AB35" s="30"/>
      <c r="AC35" s="30"/>
      <c r="AD35" s="30"/>
      <c r="AE35" s="30"/>
      <c r="AF35" s="30"/>
      <c r="AG35" s="30"/>
      <c r="AH35" s="30"/>
      <c r="AI35" s="30"/>
      <c r="AJ35" s="30"/>
      <c r="AK35" s="96"/>
    </row>
    <row r="36" spans="19:37" x14ac:dyDescent="0.3">
      <c r="S36" s="95"/>
      <c r="T36" s="30"/>
      <c r="U36" s="30"/>
      <c r="V36" s="30"/>
      <c r="W36" s="30"/>
      <c r="X36" s="30"/>
      <c r="Y36" s="30"/>
      <c r="Z36" s="30"/>
      <c r="AA36" s="30"/>
      <c r="AB36" s="30"/>
      <c r="AC36" s="30"/>
      <c r="AD36" s="30"/>
      <c r="AE36" s="30"/>
      <c r="AF36" s="30"/>
      <c r="AG36" s="30"/>
      <c r="AH36" s="30"/>
      <c r="AI36" s="30"/>
      <c r="AJ36" s="30"/>
      <c r="AK36" s="96"/>
    </row>
    <row r="37" spans="19:37" x14ac:dyDescent="0.3">
      <c r="S37" s="95"/>
      <c r="T37" s="30"/>
      <c r="U37" s="30"/>
      <c r="V37" s="30"/>
      <c r="W37" s="30"/>
      <c r="X37" s="30"/>
      <c r="Y37" s="30"/>
      <c r="Z37" s="30"/>
      <c r="AA37" s="30"/>
      <c r="AB37" s="30"/>
      <c r="AC37" s="30"/>
      <c r="AD37" s="30"/>
      <c r="AE37" s="30"/>
      <c r="AF37" s="30"/>
      <c r="AG37" s="30"/>
      <c r="AH37" s="30"/>
      <c r="AI37" s="30"/>
      <c r="AJ37" s="30"/>
      <c r="AK37" s="96"/>
    </row>
    <row r="38" spans="19:37" x14ac:dyDescent="0.3">
      <c r="S38" s="95"/>
      <c r="T38" s="30"/>
      <c r="U38" s="30"/>
      <c r="V38" s="30"/>
      <c r="W38" s="30"/>
      <c r="X38" s="30"/>
      <c r="Y38" s="30"/>
      <c r="Z38" s="30"/>
      <c r="AA38" s="30"/>
      <c r="AB38" s="30"/>
      <c r="AC38" s="30"/>
      <c r="AD38" s="30"/>
      <c r="AE38" s="30"/>
      <c r="AF38" s="30"/>
      <c r="AG38" s="30"/>
      <c r="AH38" s="30"/>
      <c r="AI38" s="30"/>
      <c r="AJ38" s="30"/>
      <c r="AK38" s="96"/>
    </row>
    <row r="39" spans="19:37" x14ac:dyDescent="0.3">
      <c r="S39" s="95"/>
      <c r="T39" s="30"/>
      <c r="U39" s="30"/>
      <c r="V39" s="30"/>
      <c r="W39" s="30"/>
      <c r="X39" s="30"/>
      <c r="Y39" s="30"/>
      <c r="Z39" s="30"/>
      <c r="AA39" s="30"/>
      <c r="AB39" s="30"/>
      <c r="AC39" s="30"/>
      <c r="AD39" s="30"/>
      <c r="AE39" s="30"/>
      <c r="AF39" s="30"/>
      <c r="AG39" s="30"/>
      <c r="AH39" s="30"/>
      <c r="AI39" s="30"/>
      <c r="AJ39" s="30"/>
      <c r="AK39" s="96"/>
    </row>
    <row r="40" spans="19:37" x14ac:dyDescent="0.3">
      <c r="S40" s="95"/>
      <c r="T40" s="30"/>
      <c r="U40" s="30"/>
      <c r="V40" s="30"/>
      <c r="W40" s="30"/>
      <c r="X40" s="30"/>
      <c r="Y40" s="30"/>
      <c r="Z40" s="30"/>
      <c r="AA40" s="30"/>
      <c r="AB40" s="30"/>
      <c r="AC40" s="30"/>
      <c r="AD40" s="30"/>
      <c r="AE40" s="30"/>
      <c r="AF40" s="30"/>
      <c r="AG40" s="30"/>
      <c r="AH40" s="30"/>
      <c r="AI40" s="30"/>
      <c r="AJ40" s="30"/>
      <c r="AK40" s="96"/>
    </row>
    <row r="41" spans="19:37" x14ac:dyDescent="0.3">
      <c r="S41" s="95"/>
      <c r="T41" s="30"/>
      <c r="U41" s="30"/>
      <c r="V41" s="30"/>
      <c r="W41" s="30"/>
      <c r="X41" s="30"/>
      <c r="Y41" s="30"/>
      <c r="Z41" s="30"/>
      <c r="AA41" s="30"/>
      <c r="AB41" s="30"/>
      <c r="AC41" s="30"/>
      <c r="AD41" s="30"/>
      <c r="AE41" s="30"/>
      <c r="AF41" s="30"/>
      <c r="AG41" s="30"/>
      <c r="AH41" s="30"/>
      <c r="AI41" s="30"/>
      <c r="AJ41" s="30"/>
      <c r="AK41" s="96"/>
    </row>
    <row r="42" spans="19:37" x14ac:dyDescent="0.3">
      <c r="S42" s="95"/>
      <c r="T42" s="30"/>
      <c r="U42" s="30"/>
      <c r="V42" s="30"/>
      <c r="W42" s="30"/>
      <c r="X42" s="30"/>
      <c r="Y42" s="30"/>
      <c r="Z42" s="30"/>
      <c r="AA42" s="30"/>
      <c r="AB42" s="30"/>
      <c r="AC42" s="30"/>
      <c r="AD42" s="30"/>
      <c r="AE42" s="30"/>
      <c r="AF42" s="30"/>
      <c r="AG42" s="30"/>
      <c r="AH42" s="30"/>
      <c r="AI42" s="30"/>
      <c r="AJ42" s="30"/>
      <c r="AK42" s="96"/>
    </row>
    <row r="43" spans="19:37" x14ac:dyDescent="0.3">
      <c r="S43" s="95"/>
      <c r="T43" s="30"/>
      <c r="U43" s="30"/>
      <c r="V43" s="30"/>
      <c r="W43" s="30"/>
      <c r="X43" s="30"/>
      <c r="Y43" s="30"/>
      <c r="Z43" s="30"/>
      <c r="AA43" s="30"/>
      <c r="AB43" s="30"/>
      <c r="AC43" s="30"/>
      <c r="AD43" s="30"/>
      <c r="AE43" s="30"/>
      <c r="AF43" s="30"/>
      <c r="AG43" s="30"/>
      <c r="AH43" s="30"/>
      <c r="AI43" s="30"/>
      <c r="AJ43" s="30"/>
      <c r="AK43" s="96"/>
    </row>
    <row r="44" spans="19:37" x14ac:dyDescent="0.3">
      <c r="S44" s="95"/>
      <c r="T44" s="30"/>
      <c r="U44" s="30"/>
      <c r="V44" s="30"/>
      <c r="W44" s="30"/>
      <c r="X44" s="30"/>
      <c r="Y44" s="30"/>
      <c r="Z44" s="30"/>
      <c r="AA44" s="30"/>
      <c r="AB44" s="30"/>
      <c r="AC44" s="30"/>
      <c r="AD44" s="30"/>
      <c r="AE44" s="30"/>
      <c r="AF44" s="30"/>
      <c r="AG44" s="30"/>
      <c r="AH44" s="30"/>
      <c r="AI44" s="30"/>
      <c r="AJ44" s="30"/>
      <c r="AK44" s="96"/>
    </row>
    <row r="45" spans="19:37" x14ac:dyDescent="0.3">
      <c r="S45" s="95"/>
      <c r="T45" s="30"/>
      <c r="U45" s="30"/>
      <c r="V45" s="30"/>
      <c r="W45" s="30"/>
      <c r="X45" s="30"/>
      <c r="Y45" s="30"/>
      <c r="Z45" s="30"/>
      <c r="AA45" s="30"/>
      <c r="AB45" s="30"/>
      <c r="AC45" s="30"/>
      <c r="AD45" s="30"/>
      <c r="AE45" s="30"/>
      <c r="AF45" s="30"/>
      <c r="AG45" s="30"/>
      <c r="AH45" s="30"/>
      <c r="AI45" s="30"/>
      <c r="AJ45" s="30"/>
      <c r="AK45" s="96"/>
    </row>
    <row r="46" spans="19:37" x14ac:dyDescent="0.3">
      <c r="S46" s="95"/>
      <c r="T46" s="30"/>
      <c r="U46" s="30"/>
      <c r="V46" s="30"/>
      <c r="W46" s="30"/>
      <c r="X46" s="30"/>
      <c r="Y46" s="30"/>
      <c r="Z46" s="30"/>
      <c r="AA46" s="30"/>
      <c r="AB46" s="30"/>
      <c r="AC46" s="30"/>
      <c r="AD46" s="30"/>
      <c r="AE46" s="30"/>
      <c r="AF46" s="30"/>
      <c r="AG46" s="30"/>
      <c r="AH46" s="30"/>
      <c r="AI46" s="30"/>
      <c r="AJ46" s="30"/>
      <c r="AK46" s="96"/>
    </row>
    <row r="47" spans="19:37" x14ac:dyDescent="0.3">
      <c r="S47" s="95"/>
      <c r="T47" s="30"/>
      <c r="U47" s="30"/>
      <c r="V47" s="30"/>
      <c r="W47" s="30"/>
      <c r="X47" s="30"/>
      <c r="Y47" s="30"/>
      <c r="Z47" s="30"/>
      <c r="AA47" s="30"/>
      <c r="AB47" s="30"/>
      <c r="AC47" s="30"/>
      <c r="AD47" s="30"/>
      <c r="AE47" s="30"/>
      <c r="AF47" s="30"/>
      <c r="AG47" s="30"/>
      <c r="AH47" s="30"/>
      <c r="AI47" s="30"/>
      <c r="AJ47" s="30"/>
      <c r="AK47" s="96"/>
    </row>
    <row r="48" spans="19:37" x14ac:dyDescent="0.3">
      <c r="S48" s="95"/>
      <c r="T48" s="30"/>
      <c r="U48" s="30"/>
      <c r="V48" s="30"/>
      <c r="W48" s="30"/>
      <c r="X48" s="30"/>
      <c r="Y48" s="30"/>
      <c r="Z48" s="30"/>
      <c r="AA48" s="30"/>
      <c r="AB48" s="30"/>
      <c r="AC48" s="30"/>
      <c r="AD48" s="30"/>
      <c r="AE48" s="30"/>
      <c r="AF48" s="30"/>
      <c r="AG48" s="30"/>
      <c r="AH48" s="30"/>
      <c r="AI48" s="30"/>
      <c r="AJ48" s="30"/>
      <c r="AK48" s="96"/>
    </row>
    <row r="49" spans="19:37" x14ac:dyDescent="0.3">
      <c r="S49" s="95"/>
      <c r="T49" s="30"/>
      <c r="U49" s="30"/>
      <c r="V49" s="30"/>
      <c r="W49" s="30"/>
      <c r="X49" s="30"/>
      <c r="Y49" s="30"/>
      <c r="Z49" s="30"/>
      <c r="AA49" s="30"/>
      <c r="AB49" s="30"/>
      <c r="AC49" s="30"/>
      <c r="AD49" s="30"/>
      <c r="AE49" s="30"/>
      <c r="AF49" s="30"/>
      <c r="AG49" s="30"/>
      <c r="AH49" s="30"/>
      <c r="AI49" s="30"/>
      <c r="AJ49" s="30"/>
      <c r="AK49" s="96"/>
    </row>
    <row r="50" spans="19:37" x14ac:dyDescent="0.3">
      <c r="S50" s="95"/>
      <c r="T50" s="30"/>
      <c r="U50" s="30"/>
      <c r="V50" s="30"/>
      <c r="W50" s="30"/>
      <c r="X50" s="30"/>
      <c r="Y50" s="30"/>
      <c r="Z50" s="30"/>
      <c r="AA50" s="30"/>
      <c r="AB50" s="30"/>
      <c r="AC50" s="30"/>
      <c r="AD50" s="30"/>
      <c r="AE50" s="30"/>
      <c r="AF50" s="30"/>
      <c r="AG50" s="30"/>
      <c r="AH50" s="30"/>
      <c r="AI50" s="30"/>
      <c r="AJ50" s="30"/>
      <c r="AK50" s="96"/>
    </row>
    <row r="51" spans="19:37" x14ac:dyDescent="0.3">
      <c r="S51" s="95"/>
      <c r="T51" s="30"/>
      <c r="U51" s="30"/>
      <c r="V51" s="30"/>
      <c r="W51" s="30"/>
      <c r="X51" s="30"/>
      <c r="Y51" s="30"/>
      <c r="Z51" s="30"/>
      <c r="AA51" s="30"/>
      <c r="AB51" s="30"/>
      <c r="AC51" s="30"/>
      <c r="AD51" s="30"/>
      <c r="AE51" s="30"/>
      <c r="AF51" s="30"/>
      <c r="AG51" s="30"/>
      <c r="AH51" s="30"/>
      <c r="AI51" s="30"/>
      <c r="AJ51" s="30"/>
      <c r="AK51" s="96"/>
    </row>
    <row r="52" spans="19:37" x14ac:dyDescent="0.3">
      <c r="S52" s="95"/>
      <c r="T52" s="30"/>
      <c r="U52" s="30"/>
      <c r="V52" s="30"/>
      <c r="W52" s="30"/>
      <c r="X52" s="30"/>
      <c r="Y52" s="30"/>
      <c r="Z52" s="30"/>
      <c r="AA52" s="30"/>
      <c r="AB52" s="30"/>
      <c r="AC52" s="30"/>
      <c r="AD52" s="30"/>
      <c r="AE52" s="30"/>
      <c r="AF52" s="30"/>
      <c r="AG52" s="30"/>
      <c r="AH52" s="30"/>
      <c r="AI52" s="30"/>
      <c r="AJ52" s="30"/>
      <c r="AK52" s="96"/>
    </row>
    <row r="53" spans="19:37" x14ac:dyDescent="0.3">
      <c r="S53" s="95"/>
      <c r="T53" s="30"/>
      <c r="U53" s="30"/>
      <c r="V53" s="30"/>
      <c r="W53" s="30"/>
      <c r="X53" s="30"/>
      <c r="Y53" s="30"/>
      <c r="Z53" s="30"/>
      <c r="AA53" s="30"/>
      <c r="AB53" s="30"/>
      <c r="AC53" s="30"/>
      <c r="AD53" s="30"/>
      <c r="AE53" s="30"/>
      <c r="AF53" s="30"/>
      <c r="AG53" s="30"/>
      <c r="AH53" s="30"/>
      <c r="AI53" s="30"/>
      <c r="AJ53" s="30"/>
      <c r="AK53" s="96"/>
    </row>
    <row r="54" spans="19:37" x14ac:dyDescent="0.3">
      <c r="S54" s="95"/>
      <c r="T54" s="30"/>
      <c r="U54" s="30"/>
      <c r="V54" s="30"/>
      <c r="W54" s="30"/>
      <c r="X54" s="30"/>
      <c r="Y54" s="30"/>
      <c r="Z54" s="30"/>
      <c r="AA54" s="30"/>
      <c r="AB54" s="30"/>
      <c r="AC54" s="30"/>
      <c r="AD54" s="30"/>
      <c r="AE54" s="30"/>
      <c r="AF54" s="30"/>
      <c r="AG54" s="30"/>
      <c r="AH54" s="30"/>
      <c r="AI54" s="30"/>
      <c r="AJ54" s="30"/>
      <c r="AK54" s="96"/>
    </row>
    <row r="55" spans="19:37" x14ac:dyDescent="0.3">
      <c r="S55" s="95"/>
      <c r="T55" s="30"/>
      <c r="U55" s="30"/>
      <c r="V55" s="30"/>
      <c r="W55" s="30"/>
      <c r="X55" s="30"/>
      <c r="Y55" s="30"/>
      <c r="Z55" s="30"/>
      <c r="AA55" s="30"/>
      <c r="AB55" s="30"/>
      <c r="AC55" s="30"/>
      <c r="AD55" s="30"/>
      <c r="AE55" s="30"/>
      <c r="AF55" s="30"/>
      <c r="AG55" s="30"/>
      <c r="AH55" s="30"/>
      <c r="AI55" s="30"/>
      <c r="AJ55" s="30"/>
      <c r="AK55" s="96"/>
    </row>
    <row r="56" spans="19:37" x14ac:dyDescent="0.3">
      <c r="S56" s="95"/>
      <c r="T56" s="30"/>
      <c r="U56" s="30"/>
      <c r="V56" s="30"/>
      <c r="W56" s="30"/>
      <c r="X56" s="30"/>
      <c r="Y56" s="30"/>
      <c r="Z56" s="30"/>
      <c r="AA56" s="30"/>
      <c r="AB56" s="30"/>
      <c r="AC56" s="30"/>
      <c r="AD56" s="30"/>
      <c r="AE56" s="30"/>
      <c r="AF56" s="30"/>
      <c r="AG56" s="30"/>
      <c r="AH56" s="30"/>
      <c r="AI56" s="30"/>
      <c r="AJ56" s="30"/>
      <c r="AK56" s="96"/>
    </row>
    <row r="57" spans="19:37" x14ac:dyDescent="0.3">
      <c r="S57" s="95"/>
      <c r="T57" s="30"/>
      <c r="U57" s="30"/>
      <c r="V57" s="30"/>
      <c r="W57" s="30"/>
      <c r="X57" s="30"/>
      <c r="Y57" s="30"/>
      <c r="Z57" s="30"/>
      <c r="AA57" s="30"/>
      <c r="AB57" s="30"/>
      <c r="AC57" s="30"/>
      <c r="AD57" s="30"/>
      <c r="AE57" s="30"/>
      <c r="AF57" s="30"/>
      <c r="AG57" s="30"/>
      <c r="AH57" s="30"/>
      <c r="AI57" s="30"/>
      <c r="AJ57" s="30"/>
      <c r="AK57" s="96"/>
    </row>
    <row r="58" spans="19:37" x14ac:dyDescent="0.3">
      <c r="S58" s="95"/>
      <c r="T58" s="30"/>
      <c r="U58" s="30"/>
      <c r="V58" s="30"/>
      <c r="W58" s="30"/>
      <c r="X58" s="30"/>
      <c r="Y58" s="30"/>
      <c r="Z58" s="30"/>
      <c r="AA58" s="30"/>
      <c r="AB58" s="30"/>
      <c r="AC58" s="30"/>
      <c r="AD58" s="30"/>
      <c r="AE58" s="30"/>
      <c r="AF58" s="30"/>
      <c r="AG58" s="30"/>
      <c r="AH58" s="30"/>
      <c r="AI58" s="30"/>
      <c r="AJ58" s="30"/>
      <c r="AK58" s="96"/>
    </row>
    <row r="59" spans="19:37" ht="15" thickBot="1" x14ac:dyDescent="0.35">
      <c r="S59" s="164"/>
      <c r="T59" s="165"/>
      <c r="U59" s="165"/>
      <c r="V59" s="165"/>
      <c r="W59" s="165"/>
      <c r="X59" s="165"/>
      <c r="Y59" s="165"/>
      <c r="Z59" s="165"/>
      <c r="AA59" s="165"/>
      <c r="AB59" s="165"/>
      <c r="AC59" s="165"/>
      <c r="AD59" s="165"/>
      <c r="AE59" s="165"/>
      <c r="AF59" s="165"/>
      <c r="AG59" s="165"/>
      <c r="AH59" s="165"/>
      <c r="AI59" s="165"/>
      <c r="AJ59" s="165"/>
      <c r="AK59" s="166"/>
    </row>
  </sheetData>
  <sheetProtection algorithmName="SHA-512" hashValue="vhirlC0Fp6SbiIWRbJibWmfnf8/Gbo5MNCJVSzS9hfBxEnTsJxBBVPvlDDSzCKpN4iQqWlIULFVdRU3DhF6Jxg==" saltValue="hRs6Zjypv9ngDjjFIWH3dQ==" spinCount="100000" sheet="1" objects="1" scenarios="1"/>
  <mergeCells count="2">
    <mergeCell ref="S1:AK1"/>
    <mergeCell ref="M5:M6"/>
  </mergeCells>
  <dataValidations count="1">
    <dataValidation type="list" allowBlank="1" showInputMessage="1" showErrorMessage="1" sqref="E9 P9 G9 I9 K9" xr:uid="{19580CCB-F8E4-4FCE-A161-B72EA49E2515}">
      <formula1>INDIRECT("Vecteur"&amp;E5)</formula1>
    </dataValidation>
  </dataValidations>
  <pageMargins left="0.7" right="0.7" top="0.75" bottom="0.75" header="0.3" footer="0.3"/>
  <ignoredErrors>
    <ignoredError sqref="E12:P13 M8:P8 E15:P18 E14:H14 J14:P14 E20:P31 E19:L19 N19:P19 N7:O7 M11:O11 M10:P10 M9:O9" unlockedFormula="1"/>
  </ignoredErrors>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265EDB5A-97AF-4E70-8027-7AFEA056CB33}">
          <x14:formula1>
            <xm:f>_xlfn.ANCHORARRAY(Liste!$A$4)</xm:f>
          </x14:formula1>
          <xm:sqref>E5 G5 I5 K5:L5</xm:sqref>
        </x14:dataValidation>
        <x14:dataValidation type="list" allowBlank="1" showInputMessage="1" showErrorMessage="1" xr:uid="{90EF0D26-26EA-4D30-BCD2-47C4179CBA17}">
          <x14:formula1>
            <xm:f>Liste!$E$4:$E$5</xm:f>
          </x14:formula1>
          <xm:sqref>E7 K7 P7</xm:sqref>
        </x14:dataValidation>
        <x14:dataValidation type="list" allowBlank="1" showInputMessage="1" showErrorMessage="1" xr:uid="{A6C4EA7A-33A9-404C-AA19-DB04D7DF8DED}">
          <x14:formula1>
            <xm:f>Liste!$E$9:$E$10</xm:f>
          </x14:formula1>
          <xm:sqref>G7</xm:sqref>
        </x14:dataValidation>
        <x14:dataValidation type="list" allowBlank="1" showInputMessage="1" showErrorMessage="1" xr:uid="{3BFB3641-5F19-47F3-B5E3-4728A9E85C15}">
          <x14:formula1>
            <xm:f>Liste!$E$25:$E$26</xm:f>
          </x14:formula1>
          <xm:sqref>I7</xm:sqref>
        </x14:dataValidation>
        <x14:dataValidation type="list" allowBlank="1" showInputMessage="1" showErrorMessage="1" xr:uid="{3840B9AD-019C-46C1-8CB9-4000F0DCAE84}">
          <x14:formula1>
            <xm:f>Liste!$K$4:$K$5</xm:f>
          </x14:formula1>
          <xm:sqref>M9</xm:sqref>
        </x14:dataValidation>
        <x14:dataValidation type="list" allowBlank="1" showInputMessage="1" showErrorMessage="1" xr:uid="{AC9FFDA4-A246-4598-85F1-16F210941C37}">
          <x14:formula1>
            <xm:f>Liste!$K$25:$K$33</xm:f>
          </x14:formula1>
          <xm:sqref>G10 K10 P10 E10 I10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3B29-60EC-4D6F-878C-60DA8878915A}">
  <sheetPr>
    <tabColor theme="7"/>
  </sheetPr>
  <dimension ref="A1:R293"/>
  <sheetViews>
    <sheetView zoomScaleNormal="100" workbookViewId="0">
      <selection activeCell="G17" sqref="G17"/>
    </sheetView>
  </sheetViews>
  <sheetFormatPr baseColWidth="10" defaultColWidth="11.44140625" defaultRowHeight="14.4" x14ac:dyDescent="0.3"/>
  <cols>
    <col min="1" max="1" width="20.88671875" bestFit="1" customWidth="1"/>
    <col min="2" max="2" width="20" bestFit="1" customWidth="1"/>
    <col min="3" max="3" width="18.88671875" bestFit="1" customWidth="1"/>
    <col min="4" max="4" width="21.44140625" customWidth="1"/>
    <col min="5" max="5" width="25.44140625" bestFit="1" customWidth="1"/>
    <col min="6" max="6" width="9.6640625" bestFit="1" customWidth="1"/>
    <col min="7" max="7" width="12" bestFit="1" customWidth="1"/>
    <col min="8" max="8" width="21.44140625" bestFit="1" customWidth="1"/>
    <col min="9" max="9" width="19.109375" customWidth="1"/>
    <col min="10" max="10" width="18.109375" bestFit="1" customWidth="1"/>
    <col min="11" max="11" width="12.6640625" bestFit="1" customWidth="1"/>
    <col min="12" max="12" width="9.33203125" bestFit="1" customWidth="1"/>
    <col min="13" max="13" width="10.33203125" bestFit="1" customWidth="1"/>
    <col min="14" max="14" width="9.44140625" bestFit="1" customWidth="1"/>
    <col min="15" max="15" width="9.44140625" customWidth="1"/>
    <col min="16" max="16" width="43.6640625" customWidth="1"/>
    <col min="17" max="17" width="27.109375" bestFit="1" customWidth="1"/>
    <col min="18" max="18" width="33.44140625" bestFit="1" customWidth="1"/>
  </cols>
  <sheetData>
    <row r="1" spans="1:18" s="3" customFormat="1" ht="27.75" customHeight="1" x14ac:dyDescent="0.3">
      <c r="A1" s="8" t="s">
        <v>320</v>
      </c>
      <c r="B1" s="8" t="s">
        <v>10</v>
      </c>
      <c r="C1" s="8" t="s">
        <v>315</v>
      </c>
      <c r="D1" s="8" t="s">
        <v>27</v>
      </c>
      <c r="E1" s="8" t="s">
        <v>21</v>
      </c>
      <c r="F1" s="3" t="s">
        <v>44</v>
      </c>
      <c r="G1" s="3" t="s">
        <v>45</v>
      </c>
      <c r="H1" s="3" t="s">
        <v>114</v>
      </c>
      <c r="I1" s="3" t="s">
        <v>269</v>
      </c>
      <c r="J1" s="3" t="s">
        <v>46</v>
      </c>
      <c r="K1" s="3" t="s">
        <v>47</v>
      </c>
      <c r="L1" s="3" t="s">
        <v>48</v>
      </c>
      <c r="M1" s="3" t="s">
        <v>49</v>
      </c>
      <c r="N1" s="3" t="s">
        <v>50</v>
      </c>
      <c r="O1" s="3" t="s">
        <v>107</v>
      </c>
      <c r="P1" s="3" t="s">
        <v>268</v>
      </c>
      <c r="Q1" s="3" t="s">
        <v>24</v>
      </c>
      <c r="R1" s="3" t="s">
        <v>31</v>
      </c>
    </row>
    <row r="2" spans="1:18" x14ac:dyDescent="0.3">
      <c r="A2" t="s">
        <v>52</v>
      </c>
      <c r="B2" t="s">
        <v>53</v>
      </c>
      <c r="C2" t="s">
        <v>54</v>
      </c>
      <c r="D2" t="s">
        <v>19</v>
      </c>
      <c r="E2" t="s">
        <v>55</v>
      </c>
      <c r="G2">
        <v>0.37114000000000003</v>
      </c>
      <c r="H2">
        <v>104</v>
      </c>
      <c r="I2" s="61">
        <v>0.25</v>
      </c>
      <c r="J2" t="s">
        <v>34</v>
      </c>
      <c r="K2">
        <v>25.831344000000001</v>
      </c>
      <c r="L2">
        <v>1.6330160000000002E-4</v>
      </c>
      <c r="M2" t="s">
        <v>56</v>
      </c>
      <c r="N2" t="s">
        <v>56</v>
      </c>
      <c r="O2" s="2" t="s">
        <v>228</v>
      </c>
      <c r="P2" t="s">
        <v>57</v>
      </c>
      <c r="Q2" s="19" t="str">
        <f>Tableau1[[#This Row],[Voie de transport]]&amp;Tableau1[[#This Row],[Type de chargement]]</f>
        <v>Voie navigable VaConteneur</v>
      </c>
      <c r="R2" s="19" t="str">
        <f>Tableau1[[#This Row],[Voie X Fret]]&amp;Tableau1[[#This Row],[Densité de chargement ]]</f>
        <v>Voie navigable VaConteneurMoyen</v>
      </c>
    </row>
    <row r="3" spans="1:18" x14ac:dyDescent="0.3">
      <c r="A3" t="s">
        <v>52</v>
      </c>
      <c r="B3" t="s">
        <v>53</v>
      </c>
      <c r="C3" t="s">
        <v>54</v>
      </c>
      <c r="D3" t="s">
        <v>19</v>
      </c>
      <c r="E3" t="s">
        <v>55</v>
      </c>
      <c r="G3">
        <v>0.37114000000000003</v>
      </c>
      <c r="H3">
        <v>104</v>
      </c>
      <c r="I3" s="61">
        <v>0.25</v>
      </c>
      <c r="J3" t="s">
        <v>35</v>
      </c>
      <c r="K3">
        <v>8.2021940000000004</v>
      </c>
      <c r="L3">
        <v>3.488716E-2</v>
      </c>
      <c r="M3">
        <v>1.4845600000000002E-3</v>
      </c>
      <c r="N3">
        <v>1.2247620000000001E-2</v>
      </c>
      <c r="O3" s="2" t="s">
        <v>228</v>
      </c>
      <c r="P3" t="s">
        <v>57</v>
      </c>
      <c r="Q3" s="19" t="str">
        <f>Tableau1[[#This Row],[Voie de transport]]&amp;Tableau1[[#This Row],[Type de chargement]]</f>
        <v>Voie navigable VaConteneur</v>
      </c>
      <c r="R3" s="19" t="str">
        <f>Tableau1[[#This Row],[Voie X Fret]]&amp;Tableau1[[#This Row],[Densité de chargement ]]</f>
        <v>Voie navigable VaConteneurMoyen</v>
      </c>
    </row>
    <row r="4" spans="1:18" x14ac:dyDescent="0.3">
      <c r="A4" t="s">
        <v>52</v>
      </c>
      <c r="B4" t="s">
        <v>53</v>
      </c>
      <c r="C4" t="s">
        <v>54</v>
      </c>
      <c r="D4" t="s">
        <v>19</v>
      </c>
      <c r="E4" t="s">
        <v>58</v>
      </c>
      <c r="G4">
        <v>0.32745999999999997</v>
      </c>
      <c r="H4">
        <v>156</v>
      </c>
      <c r="I4" s="61">
        <v>0.25</v>
      </c>
      <c r="J4" t="s">
        <v>34</v>
      </c>
      <c r="K4">
        <v>22.791215999999995</v>
      </c>
      <c r="L4">
        <v>1.4408239999999999E-4</v>
      </c>
      <c r="M4" t="s">
        <v>56</v>
      </c>
      <c r="N4" t="s">
        <v>56</v>
      </c>
      <c r="O4" s="2" t="s">
        <v>228</v>
      </c>
      <c r="P4" t="s">
        <v>57</v>
      </c>
      <c r="Q4" s="19" t="str">
        <f>Tableau1[[#This Row],[Voie de transport]]&amp;Tableau1[[#This Row],[Type de chargement]]</f>
        <v>Voie navigable VaConteneur</v>
      </c>
      <c r="R4" s="19" t="str">
        <f>Tableau1[[#This Row],[Voie X Fret]]&amp;Tableau1[[#This Row],[Densité de chargement ]]</f>
        <v>Voie navigable VaConteneurMoyen</v>
      </c>
    </row>
    <row r="5" spans="1:18" x14ac:dyDescent="0.3">
      <c r="A5" t="s">
        <v>52</v>
      </c>
      <c r="B5" t="s">
        <v>53</v>
      </c>
      <c r="C5" t="s">
        <v>54</v>
      </c>
      <c r="D5" t="s">
        <v>19</v>
      </c>
      <c r="E5" t="s">
        <v>58</v>
      </c>
      <c r="G5">
        <v>0.32745999999999997</v>
      </c>
      <c r="H5">
        <v>156</v>
      </c>
      <c r="I5" s="61">
        <v>0.25</v>
      </c>
      <c r="J5" t="s">
        <v>35</v>
      </c>
      <c r="K5">
        <v>7.236866</v>
      </c>
      <c r="L5">
        <v>3.0781239999999998E-2</v>
      </c>
      <c r="M5">
        <v>1.3098399999999998E-3</v>
      </c>
      <c r="N5">
        <v>1.080618E-2</v>
      </c>
      <c r="O5" s="2" t="s">
        <v>228</v>
      </c>
      <c r="P5" t="s">
        <v>57</v>
      </c>
      <c r="Q5" s="19" t="str">
        <f>Tableau1[[#This Row],[Voie de transport]]&amp;Tableau1[[#This Row],[Type de chargement]]</f>
        <v>Voie navigable VaConteneur</v>
      </c>
      <c r="R5" s="19" t="str">
        <f>Tableau1[[#This Row],[Voie X Fret]]&amp;Tableau1[[#This Row],[Densité de chargement ]]</f>
        <v>Voie navigable VaConteneurMoyen</v>
      </c>
    </row>
    <row r="6" spans="1:18" x14ac:dyDescent="0.3">
      <c r="A6" t="s">
        <v>52</v>
      </c>
      <c r="B6" t="s">
        <v>53</v>
      </c>
      <c r="C6" t="s">
        <v>54</v>
      </c>
      <c r="D6" t="s">
        <v>19</v>
      </c>
      <c r="E6" t="s">
        <v>59</v>
      </c>
      <c r="G6">
        <v>0.29722000000000004</v>
      </c>
      <c r="H6">
        <v>192</v>
      </c>
      <c r="I6" s="61">
        <v>0.25</v>
      </c>
      <c r="J6" t="s">
        <v>34</v>
      </c>
      <c r="K6">
        <v>20.686512</v>
      </c>
      <c r="L6">
        <v>1.3077680000000001E-4</v>
      </c>
      <c r="M6" t="s">
        <v>56</v>
      </c>
      <c r="N6" t="s">
        <v>56</v>
      </c>
      <c r="O6" s="2" t="s">
        <v>228</v>
      </c>
      <c r="P6" t="s">
        <v>57</v>
      </c>
      <c r="Q6" s="19" t="str">
        <f>Tableau1[[#This Row],[Voie de transport]]&amp;Tableau1[[#This Row],[Type de chargement]]</f>
        <v>Voie navigable VaConteneur</v>
      </c>
      <c r="R6" s="19" t="str">
        <f>Tableau1[[#This Row],[Voie X Fret]]&amp;Tableau1[[#This Row],[Densité de chargement ]]</f>
        <v>Voie navigable VaConteneurMoyen</v>
      </c>
    </row>
    <row r="7" spans="1:18" x14ac:dyDescent="0.3">
      <c r="A7" t="s">
        <v>52</v>
      </c>
      <c r="B7" t="s">
        <v>53</v>
      </c>
      <c r="C7" t="s">
        <v>54</v>
      </c>
      <c r="D7" t="s">
        <v>19</v>
      </c>
      <c r="E7" t="s">
        <v>59</v>
      </c>
      <c r="G7">
        <v>0.29722000000000004</v>
      </c>
      <c r="H7">
        <v>192</v>
      </c>
      <c r="I7" s="61">
        <v>0.25</v>
      </c>
      <c r="J7" t="s">
        <v>35</v>
      </c>
      <c r="K7">
        <v>6.5685620000000009</v>
      </c>
      <c r="L7">
        <v>2.7938680000000004E-2</v>
      </c>
      <c r="M7">
        <v>1.1888800000000002E-3</v>
      </c>
      <c r="N7">
        <v>9.8082600000000009E-3</v>
      </c>
      <c r="O7" s="2" t="s">
        <v>228</v>
      </c>
      <c r="P7" t="s">
        <v>57</v>
      </c>
      <c r="Q7" s="19" t="str">
        <f>Tableau1[[#This Row],[Voie de transport]]&amp;Tableau1[[#This Row],[Type de chargement]]</f>
        <v>Voie navigable VaConteneur</v>
      </c>
      <c r="R7" s="19" t="str">
        <f>Tableau1[[#This Row],[Voie X Fret]]&amp;Tableau1[[#This Row],[Densité de chargement ]]</f>
        <v>Voie navigable VaConteneurMoyen</v>
      </c>
    </row>
    <row r="8" spans="1:18" x14ac:dyDescent="0.3">
      <c r="A8" t="s">
        <v>52</v>
      </c>
      <c r="B8" t="s">
        <v>53</v>
      </c>
      <c r="C8" t="s">
        <v>54</v>
      </c>
      <c r="D8" t="s">
        <v>19</v>
      </c>
      <c r="E8" t="s">
        <v>60</v>
      </c>
      <c r="G8">
        <v>0.21657999999999999</v>
      </c>
      <c r="H8">
        <v>288</v>
      </c>
      <c r="I8" s="61">
        <v>0.25</v>
      </c>
      <c r="J8" t="s">
        <v>34</v>
      </c>
      <c r="K8">
        <v>15.073967999999999</v>
      </c>
      <c r="L8">
        <v>9.5295200000000002E-5</v>
      </c>
      <c r="M8" t="s">
        <v>56</v>
      </c>
      <c r="N8" t="s">
        <v>56</v>
      </c>
      <c r="O8" s="2" t="s">
        <v>228</v>
      </c>
      <c r="P8" t="s">
        <v>57</v>
      </c>
      <c r="Q8" s="19" t="str">
        <f>Tableau1[[#This Row],[Voie de transport]]&amp;Tableau1[[#This Row],[Type de chargement]]</f>
        <v>Voie navigable VaConteneur</v>
      </c>
      <c r="R8" s="19" t="str">
        <f>Tableau1[[#This Row],[Voie X Fret]]&amp;Tableau1[[#This Row],[Densité de chargement ]]</f>
        <v>Voie navigable VaConteneurMoyen</v>
      </c>
    </row>
    <row r="9" spans="1:18" x14ac:dyDescent="0.3">
      <c r="A9" t="s">
        <v>52</v>
      </c>
      <c r="B9" t="s">
        <v>53</v>
      </c>
      <c r="C9" t="s">
        <v>54</v>
      </c>
      <c r="D9" t="s">
        <v>19</v>
      </c>
      <c r="E9" t="s">
        <v>60</v>
      </c>
      <c r="G9">
        <v>0.21657999999999999</v>
      </c>
      <c r="H9">
        <v>288</v>
      </c>
      <c r="I9" s="61">
        <v>0.25</v>
      </c>
      <c r="J9" t="s">
        <v>35</v>
      </c>
      <c r="K9">
        <v>4.7864180000000003</v>
      </c>
      <c r="L9">
        <v>2.0358519999999998E-2</v>
      </c>
      <c r="M9">
        <v>8.6631999999999996E-4</v>
      </c>
      <c r="N9">
        <v>7.1471399999999997E-3</v>
      </c>
      <c r="O9" s="2" t="s">
        <v>228</v>
      </c>
      <c r="P9" t="s">
        <v>57</v>
      </c>
      <c r="Q9" s="19" t="str">
        <f>Tableau1[[#This Row],[Voie de transport]]&amp;Tableau1[[#This Row],[Type de chargement]]</f>
        <v>Voie navigable VaConteneur</v>
      </c>
      <c r="R9" s="19" t="str">
        <f>Tableau1[[#This Row],[Voie X Fret]]&amp;Tableau1[[#This Row],[Densité de chargement ]]</f>
        <v>Voie navigable VaConteneurMoyen</v>
      </c>
    </row>
    <row r="10" spans="1:18" x14ac:dyDescent="0.3">
      <c r="A10" t="s">
        <v>52</v>
      </c>
      <c r="B10" t="s">
        <v>53</v>
      </c>
      <c r="C10" t="s">
        <v>54</v>
      </c>
      <c r="D10" t="s">
        <v>19</v>
      </c>
      <c r="E10" t="s">
        <v>61</v>
      </c>
      <c r="G10">
        <v>0.41314000000000001</v>
      </c>
      <c r="H10">
        <v>54</v>
      </c>
      <c r="I10" s="61">
        <v>0.25</v>
      </c>
      <c r="J10" t="s">
        <v>34</v>
      </c>
      <c r="K10">
        <v>28.754543999999999</v>
      </c>
      <c r="L10">
        <v>1.8178160000000001E-4</v>
      </c>
      <c r="M10" t="s">
        <v>56</v>
      </c>
      <c r="N10" t="s">
        <v>56</v>
      </c>
      <c r="O10" s="2" t="s">
        <v>228</v>
      </c>
      <c r="P10" t="s">
        <v>57</v>
      </c>
      <c r="Q10" s="19" t="str">
        <f>Tableau1[[#This Row],[Voie de transport]]&amp;Tableau1[[#This Row],[Type de chargement]]</f>
        <v>Voie navigable VaConteneur</v>
      </c>
      <c r="R10" s="19" t="str">
        <f>Tableau1[[#This Row],[Voie X Fret]]&amp;Tableau1[[#This Row],[Densité de chargement ]]</f>
        <v>Voie navigable VaConteneurMoyen</v>
      </c>
    </row>
    <row r="11" spans="1:18" x14ac:dyDescent="0.3">
      <c r="A11" t="s">
        <v>52</v>
      </c>
      <c r="B11" t="s">
        <v>53</v>
      </c>
      <c r="C11" t="s">
        <v>54</v>
      </c>
      <c r="D11" t="s">
        <v>19</v>
      </c>
      <c r="E11" t="s">
        <v>61</v>
      </c>
      <c r="G11">
        <v>0.41314000000000001</v>
      </c>
      <c r="H11">
        <v>54</v>
      </c>
      <c r="I11" s="61">
        <v>0.25</v>
      </c>
      <c r="J11" t="s">
        <v>35</v>
      </c>
      <c r="K11">
        <v>9.1303940000000008</v>
      </c>
      <c r="L11">
        <v>3.8835160000000001E-2</v>
      </c>
      <c r="M11">
        <v>1.65256E-3</v>
      </c>
      <c r="N11">
        <v>1.3633620000000001E-2</v>
      </c>
      <c r="O11" s="2" t="s">
        <v>228</v>
      </c>
      <c r="P11" t="s">
        <v>57</v>
      </c>
      <c r="Q11" s="19" t="str">
        <f>Tableau1[[#This Row],[Voie de transport]]&amp;Tableau1[[#This Row],[Type de chargement]]</f>
        <v>Voie navigable VaConteneur</v>
      </c>
      <c r="R11" s="19" t="str">
        <f>Tableau1[[#This Row],[Voie X Fret]]&amp;Tableau1[[#This Row],[Densité de chargement ]]</f>
        <v>Voie navigable VaConteneurMoyen</v>
      </c>
    </row>
    <row r="12" spans="1:18" x14ac:dyDescent="0.3">
      <c r="A12" t="s">
        <v>52</v>
      </c>
      <c r="B12" t="s">
        <v>62</v>
      </c>
      <c r="C12" t="s">
        <v>54</v>
      </c>
      <c r="D12" t="s">
        <v>19</v>
      </c>
      <c r="E12" t="s">
        <v>55</v>
      </c>
      <c r="G12">
        <v>0.47876000000000002</v>
      </c>
      <c r="H12">
        <v>104</v>
      </c>
      <c r="I12" s="61">
        <v>0.25</v>
      </c>
      <c r="J12" t="s">
        <v>34</v>
      </c>
      <c r="K12">
        <v>33.321695999999996</v>
      </c>
      <c r="L12">
        <v>2.1065440000000001E-4</v>
      </c>
      <c r="M12" t="s">
        <v>56</v>
      </c>
      <c r="N12" t="s">
        <v>56</v>
      </c>
      <c r="O12" s="2" t="s">
        <v>228</v>
      </c>
      <c r="P12" t="s">
        <v>57</v>
      </c>
      <c r="Q12" s="19" t="str">
        <f>Tableau1[[#This Row],[Voie de transport]]&amp;Tableau1[[#This Row],[Type de chargement]]</f>
        <v>Voie navigable VIbConteneur</v>
      </c>
      <c r="R12" s="19" t="str">
        <f>Tableau1[[#This Row],[Voie X Fret]]&amp;Tableau1[[#This Row],[Densité de chargement ]]</f>
        <v>Voie navigable VIbConteneurMoyen</v>
      </c>
    </row>
    <row r="13" spans="1:18" x14ac:dyDescent="0.3">
      <c r="A13" t="s">
        <v>52</v>
      </c>
      <c r="B13" t="s">
        <v>62</v>
      </c>
      <c r="C13" t="s">
        <v>54</v>
      </c>
      <c r="D13" t="s">
        <v>19</v>
      </c>
      <c r="E13" t="s">
        <v>55</v>
      </c>
      <c r="G13">
        <v>0.47876000000000002</v>
      </c>
      <c r="H13">
        <v>104</v>
      </c>
      <c r="I13" s="61">
        <v>0.25</v>
      </c>
      <c r="J13" t="s">
        <v>35</v>
      </c>
      <c r="K13">
        <v>10.580596000000002</v>
      </c>
      <c r="L13">
        <v>4.5003439999999999E-2</v>
      </c>
      <c r="M13">
        <v>1.91504E-3</v>
      </c>
      <c r="N13">
        <v>1.579908E-2</v>
      </c>
      <c r="O13" s="2" t="s">
        <v>228</v>
      </c>
      <c r="P13" t="s">
        <v>57</v>
      </c>
      <c r="Q13" s="19" t="str">
        <f>Tableau1[[#This Row],[Voie de transport]]&amp;Tableau1[[#This Row],[Type de chargement]]</f>
        <v>Voie navigable VIbConteneur</v>
      </c>
      <c r="R13" s="19" t="str">
        <f>Tableau1[[#This Row],[Voie X Fret]]&amp;Tableau1[[#This Row],[Densité de chargement ]]</f>
        <v>Voie navigable VIbConteneurMoyen</v>
      </c>
    </row>
    <row r="14" spans="1:18" x14ac:dyDescent="0.3">
      <c r="A14" t="s">
        <v>52</v>
      </c>
      <c r="B14" t="s">
        <v>62</v>
      </c>
      <c r="C14" t="s">
        <v>54</v>
      </c>
      <c r="D14" t="s">
        <v>19</v>
      </c>
      <c r="E14" t="s">
        <v>58</v>
      </c>
      <c r="G14">
        <v>0.44054000000000004</v>
      </c>
      <c r="H14">
        <v>156</v>
      </c>
      <c r="I14" s="61">
        <v>0.25</v>
      </c>
      <c r="J14" t="s">
        <v>34</v>
      </c>
      <c r="K14">
        <v>30.661584000000001</v>
      </c>
      <c r="L14">
        <v>1.9383760000000002E-4</v>
      </c>
      <c r="M14" t="s">
        <v>56</v>
      </c>
      <c r="N14" t="s">
        <v>56</v>
      </c>
      <c r="O14" s="2" t="s">
        <v>228</v>
      </c>
      <c r="P14" t="s">
        <v>57</v>
      </c>
      <c r="Q14" s="19" t="str">
        <f>Tableau1[[#This Row],[Voie de transport]]&amp;Tableau1[[#This Row],[Type de chargement]]</f>
        <v>Voie navigable VIbConteneur</v>
      </c>
      <c r="R14" s="19" t="str">
        <f>Tableau1[[#This Row],[Voie X Fret]]&amp;Tableau1[[#This Row],[Densité de chargement ]]</f>
        <v>Voie navigable VIbConteneurMoyen</v>
      </c>
    </row>
    <row r="15" spans="1:18" x14ac:dyDescent="0.3">
      <c r="A15" t="s">
        <v>52</v>
      </c>
      <c r="B15" t="s">
        <v>62</v>
      </c>
      <c r="C15" t="s">
        <v>54</v>
      </c>
      <c r="D15" t="s">
        <v>19</v>
      </c>
      <c r="E15" t="s">
        <v>58</v>
      </c>
      <c r="G15">
        <v>0.44054000000000004</v>
      </c>
      <c r="H15">
        <v>156</v>
      </c>
      <c r="I15" s="61">
        <v>0.25</v>
      </c>
      <c r="J15" t="s">
        <v>35</v>
      </c>
      <c r="K15">
        <v>9.7359340000000021</v>
      </c>
      <c r="L15">
        <v>4.1410760000000005E-2</v>
      </c>
      <c r="M15">
        <v>1.7621600000000002E-3</v>
      </c>
      <c r="N15">
        <v>1.4537820000000002E-2</v>
      </c>
      <c r="O15" s="2" t="s">
        <v>228</v>
      </c>
      <c r="P15" t="s">
        <v>57</v>
      </c>
      <c r="Q15" s="19" t="str">
        <f>Tableau1[[#This Row],[Voie de transport]]&amp;Tableau1[[#This Row],[Type de chargement]]</f>
        <v>Voie navigable VIbConteneur</v>
      </c>
      <c r="R15" s="19" t="str">
        <f>Tableau1[[#This Row],[Voie X Fret]]&amp;Tableau1[[#This Row],[Densité de chargement ]]</f>
        <v>Voie navigable VIbConteneurMoyen</v>
      </c>
    </row>
    <row r="16" spans="1:18" x14ac:dyDescent="0.3">
      <c r="A16" t="s">
        <v>52</v>
      </c>
      <c r="B16" t="s">
        <v>62</v>
      </c>
      <c r="C16" t="s">
        <v>54</v>
      </c>
      <c r="D16" t="s">
        <v>19</v>
      </c>
      <c r="E16" t="s">
        <v>59</v>
      </c>
      <c r="G16">
        <v>0.41408</v>
      </c>
      <c r="H16">
        <v>192</v>
      </c>
      <c r="I16" s="61">
        <v>0.25</v>
      </c>
      <c r="J16" t="s">
        <v>34</v>
      </c>
      <c r="K16">
        <v>28.819967999999999</v>
      </c>
      <c r="L16">
        <v>1.821952E-4</v>
      </c>
      <c r="M16" t="s">
        <v>56</v>
      </c>
      <c r="N16" t="s">
        <v>56</v>
      </c>
      <c r="O16" s="2" t="s">
        <v>228</v>
      </c>
      <c r="P16" t="s">
        <v>57</v>
      </c>
      <c r="Q16" s="19" t="str">
        <f>Tableau1[[#This Row],[Voie de transport]]&amp;Tableau1[[#This Row],[Type de chargement]]</f>
        <v>Voie navigable VIbConteneur</v>
      </c>
      <c r="R16" s="19" t="str">
        <f>Tableau1[[#This Row],[Voie X Fret]]&amp;Tableau1[[#This Row],[Densité de chargement ]]</f>
        <v>Voie navigable VIbConteneurMoyen</v>
      </c>
    </row>
    <row r="17" spans="1:18" x14ac:dyDescent="0.3">
      <c r="A17" t="s">
        <v>52</v>
      </c>
      <c r="B17" t="s">
        <v>62</v>
      </c>
      <c r="C17" t="s">
        <v>54</v>
      </c>
      <c r="D17" t="s">
        <v>19</v>
      </c>
      <c r="E17" t="s">
        <v>59</v>
      </c>
      <c r="G17">
        <v>0.41408</v>
      </c>
      <c r="H17">
        <v>192</v>
      </c>
      <c r="I17" s="61">
        <v>0.25</v>
      </c>
      <c r="J17" t="s">
        <v>35</v>
      </c>
      <c r="K17">
        <v>9.1511680000000002</v>
      </c>
      <c r="L17">
        <v>3.8923520000000003E-2</v>
      </c>
      <c r="M17">
        <v>1.65632E-3</v>
      </c>
      <c r="N17">
        <v>1.366464E-2</v>
      </c>
      <c r="O17" s="2" t="s">
        <v>228</v>
      </c>
      <c r="P17" t="s">
        <v>57</v>
      </c>
      <c r="Q17" s="19" t="str">
        <f>Tableau1[[#This Row],[Voie de transport]]&amp;Tableau1[[#This Row],[Type de chargement]]</f>
        <v>Voie navigable VIbConteneur</v>
      </c>
      <c r="R17" s="19" t="str">
        <f>Tableau1[[#This Row],[Voie X Fret]]&amp;Tableau1[[#This Row],[Densité de chargement ]]</f>
        <v>Voie navigable VIbConteneurMoyen</v>
      </c>
    </row>
    <row r="18" spans="1:18" x14ac:dyDescent="0.3">
      <c r="A18" t="s">
        <v>52</v>
      </c>
      <c r="B18" t="s">
        <v>62</v>
      </c>
      <c r="C18" t="s">
        <v>54</v>
      </c>
      <c r="D18" t="s">
        <v>19</v>
      </c>
      <c r="E18" t="s">
        <v>60</v>
      </c>
      <c r="G18">
        <v>0.34352000000000005</v>
      </c>
      <c r="H18">
        <v>288</v>
      </c>
      <c r="I18" s="61">
        <v>0.25</v>
      </c>
      <c r="J18" t="s">
        <v>34</v>
      </c>
      <c r="K18">
        <v>23.908992000000001</v>
      </c>
      <c r="L18">
        <v>1.5114880000000004E-4</v>
      </c>
      <c r="M18" t="s">
        <v>56</v>
      </c>
      <c r="N18" t="s">
        <v>56</v>
      </c>
      <c r="O18" s="2" t="s">
        <v>228</v>
      </c>
      <c r="P18" t="s">
        <v>57</v>
      </c>
      <c r="Q18" s="19" t="str">
        <f>Tableau1[[#This Row],[Voie de transport]]&amp;Tableau1[[#This Row],[Type de chargement]]</f>
        <v>Voie navigable VIbConteneur</v>
      </c>
      <c r="R18" s="19" t="str">
        <f>Tableau1[[#This Row],[Voie X Fret]]&amp;Tableau1[[#This Row],[Densité de chargement ]]</f>
        <v>Voie navigable VIbConteneurMoyen</v>
      </c>
    </row>
    <row r="19" spans="1:18" x14ac:dyDescent="0.3">
      <c r="A19" t="s">
        <v>52</v>
      </c>
      <c r="B19" t="s">
        <v>62</v>
      </c>
      <c r="C19" t="s">
        <v>54</v>
      </c>
      <c r="D19" t="s">
        <v>19</v>
      </c>
      <c r="E19" t="s">
        <v>60</v>
      </c>
      <c r="G19">
        <v>0.34352000000000005</v>
      </c>
      <c r="H19">
        <v>288</v>
      </c>
      <c r="I19" s="61">
        <v>0.25</v>
      </c>
      <c r="J19" t="s">
        <v>35</v>
      </c>
      <c r="K19">
        <v>7.5917920000000017</v>
      </c>
      <c r="L19">
        <v>3.2290880000000008E-2</v>
      </c>
      <c r="M19">
        <v>1.3740800000000002E-3</v>
      </c>
      <c r="N19">
        <v>1.1336160000000001E-2</v>
      </c>
      <c r="O19" s="2" t="s">
        <v>228</v>
      </c>
      <c r="P19" t="s">
        <v>57</v>
      </c>
      <c r="Q19" s="19" t="str">
        <f>Tableau1[[#This Row],[Voie de transport]]&amp;Tableau1[[#This Row],[Type de chargement]]</f>
        <v>Voie navigable VIbConteneur</v>
      </c>
      <c r="R19" s="19" t="str">
        <f>Tableau1[[#This Row],[Voie X Fret]]&amp;Tableau1[[#This Row],[Densité de chargement ]]</f>
        <v>Voie navigable VIbConteneurMoyen</v>
      </c>
    </row>
    <row r="20" spans="1:18" x14ac:dyDescent="0.3">
      <c r="A20" t="s">
        <v>52</v>
      </c>
      <c r="B20" t="s">
        <v>62</v>
      </c>
      <c r="C20" t="s">
        <v>54</v>
      </c>
      <c r="D20" t="s">
        <v>19</v>
      </c>
      <c r="E20" t="s">
        <v>61</v>
      </c>
      <c r="G20">
        <v>0.51551000000000002</v>
      </c>
      <c r="H20">
        <v>54</v>
      </c>
      <c r="I20" s="61">
        <v>0.25</v>
      </c>
      <c r="J20" t="s">
        <v>34</v>
      </c>
      <c r="K20">
        <v>35.879495999999996</v>
      </c>
      <c r="L20">
        <v>2.2682440000000001E-4</v>
      </c>
      <c r="M20" t="s">
        <v>56</v>
      </c>
      <c r="N20" t="s">
        <v>56</v>
      </c>
      <c r="O20" s="2" t="s">
        <v>228</v>
      </c>
      <c r="P20" t="s">
        <v>57</v>
      </c>
      <c r="Q20" s="19" t="str">
        <f>Tableau1[[#This Row],[Voie de transport]]&amp;Tableau1[[#This Row],[Type de chargement]]</f>
        <v>Voie navigable VIbConteneur</v>
      </c>
      <c r="R20" s="19" t="str">
        <f>Tableau1[[#This Row],[Voie X Fret]]&amp;Tableau1[[#This Row],[Densité de chargement ]]</f>
        <v>Voie navigable VIbConteneurMoyen</v>
      </c>
    </row>
    <row r="21" spans="1:18" x14ac:dyDescent="0.3">
      <c r="A21" t="s">
        <v>52</v>
      </c>
      <c r="B21" t="s">
        <v>62</v>
      </c>
      <c r="C21" t="s">
        <v>54</v>
      </c>
      <c r="D21" t="s">
        <v>19</v>
      </c>
      <c r="E21" t="s">
        <v>61</v>
      </c>
      <c r="G21">
        <v>0.51551000000000002</v>
      </c>
      <c r="H21">
        <v>54</v>
      </c>
      <c r="I21" s="61">
        <v>0.25</v>
      </c>
      <c r="J21" t="s">
        <v>35</v>
      </c>
      <c r="K21">
        <v>11.392771000000002</v>
      </c>
      <c r="L21">
        <v>4.8457940000000005E-2</v>
      </c>
      <c r="M21">
        <v>2.0620400000000002E-3</v>
      </c>
      <c r="N21">
        <v>1.7011830000000002E-2</v>
      </c>
      <c r="O21" s="2" t="s">
        <v>228</v>
      </c>
      <c r="P21" t="s">
        <v>57</v>
      </c>
      <c r="Q21" s="19" t="str">
        <f>Tableau1[[#This Row],[Voie de transport]]&amp;Tableau1[[#This Row],[Type de chargement]]</f>
        <v>Voie navigable VIbConteneur</v>
      </c>
      <c r="R21" s="19" t="str">
        <f>Tableau1[[#This Row],[Voie X Fret]]&amp;Tableau1[[#This Row],[Densité de chargement ]]</f>
        <v>Voie navigable VIbConteneurMoyen</v>
      </c>
    </row>
    <row r="22" spans="1:18" x14ac:dyDescent="0.3">
      <c r="A22" t="s">
        <v>52</v>
      </c>
      <c r="B22" t="s">
        <v>53</v>
      </c>
      <c r="C22" t="s">
        <v>15</v>
      </c>
      <c r="D22" t="s">
        <v>63</v>
      </c>
      <c r="E22" t="s">
        <v>64</v>
      </c>
      <c r="G22">
        <v>0.46</v>
      </c>
      <c r="H22">
        <v>600</v>
      </c>
      <c r="I22" s="61">
        <v>0.25</v>
      </c>
      <c r="J22" t="s">
        <v>34</v>
      </c>
      <c r="K22">
        <v>31.84</v>
      </c>
      <c r="L22">
        <v>1.9000000000000001E-4</v>
      </c>
      <c r="M22">
        <v>0.02</v>
      </c>
      <c r="N22">
        <v>0.46</v>
      </c>
      <c r="O22" s="2" t="s">
        <v>228</v>
      </c>
      <c r="P22" t="s">
        <v>65</v>
      </c>
      <c r="Q22" s="19" t="str">
        <f>Tableau1[[#This Row],[Voie de transport]]&amp;Tableau1[[#This Row],[Type de chargement]]</f>
        <v>Voie navigable VaVrac</v>
      </c>
      <c r="R22" s="19" t="str">
        <f>Tableau1[[#This Row],[Voie X Fret]]&amp;Tableau1[[#This Row],[Densité de chargement ]]</f>
        <v>Voie navigable VaVracLéger</v>
      </c>
    </row>
    <row r="23" spans="1:18" x14ac:dyDescent="0.3">
      <c r="A23" t="s">
        <v>52</v>
      </c>
      <c r="B23" t="s">
        <v>62</v>
      </c>
      <c r="C23" t="s">
        <v>15</v>
      </c>
      <c r="D23" t="s">
        <v>63</v>
      </c>
      <c r="E23" t="s">
        <v>64</v>
      </c>
      <c r="G23">
        <v>0.56999999999999995</v>
      </c>
      <c r="H23">
        <v>600</v>
      </c>
      <c r="I23" s="61">
        <v>0.25</v>
      </c>
      <c r="J23" t="s">
        <v>34</v>
      </c>
      <c r="K23">
        <v>39.74</v>
      </c>
      <c r="L23">
        <v>2.4000000000000001E-4</v>
      </c>
      <c r="M23">
        <v>2.5000000000000001E-2</v>
      </c>
      <c r="N23">
        <v>0.59</v>
      </c>
      <c r="O23" s="2" t="s">
        <v>228</v>
      </c>
      <c r="P23" t="s">
        <v>66</v>
      </c>
      <c r="Q23" s="19" t="str">
        <f>Tableau1[[#This Row],[Voie de transport]]&amp;Tableau1[[#This Row],[Type de chargement]]</f>
        <v>Voie navigable VIbVrac</v>
      </c>
      <c r="R23" s="19" t="str">
        <f>Tableau1[[#This Row],[Voie X Fret]]&amp;Tableau1[[#This Row],[Densité de chargement ]]</f>
        <v>Voie navigable VIbVracLéger</v>
      </c>
    </row>
    <row r="24" spans="1:18" x14ac:dyDescent="0.3">
      <c r="A24" t="s">
        <v>52</v>
      </c>
      <c r="B24" s="28" t="s">
        <v>53</v>
      </c>
      <c r="C24" s="28" t="s">
        <v>15</v>
      </c>
      <c r="D24" s="28" t="s">
        <v>63</v>
      </c>
      <c r="E24" s="28" t="s">
        <v>64</v>
      </c>
      <c r="F24" s="28"/>
      <c r="G24">
        <v>0.46</v>
      </c>
      <c r="H24">
        <v>600</v>
      </c>
      <c r="I24" s="61">
        <v>0.25</v>
      </c>
      <c r="J24" t="s">
        <v>35</v>
      </c>
      <c r="K24">
        <v>10.129999999999999</v>
      </c>
      <c r="L24">
        <v>4.2809999999999994E-2</v>
      </c>
      <c r="M24">
        <v>1.0000000000000009E-3</v>
      </c>
      <c r="N24">
        <v>9.9999999999999534E-3</v>
      </c>
      <c r="O24" s="2" t="s">
        <v>228</v>
      </c>
      <c r="P24" t="s">
        <v>65</v>
      </c>
      <c r="Q24" s="19" t="str">
        <f>Tableau1[[#This Row],[Voie de transport]]&amp;Tableau1[[#This Row],[Type de chargement]]</f>
        <v>Voie navigable VaVrac</v>
      </c>
      <c r="R24" s="19" t="str">
        <f>Tableau1[[#This Row],[Voie X Fret]]&amp;Tableau1[[#This Row],[Densité de chargement ]]</f>
        <v>Voie navigable VaVracLéger</v>
      </c>
    </row>
    <row r="25" spans="1:18" x14ac:dyDescent="0.3">
      <c r="A25" t="s">
        <v>52</v>
      </c>
      <c r="B25" t="s">
        <v>62</v>
      </c>
      <c r="C25" t="s">
        <v>15</v>
      </c>
      <c r="D25" t="s">
        <v>63</v>
      </c>
      <c r="E25" t="s">
        <v>64</v>
      </c>
      <c r="G25">
        <v>0.56999999999999995</v>
      </c>
      <c r="H25">
        <v>600</v>
      </c>
      <c r="I25" s="61">
        <v>0.25</v>
      </c>
      <c r="J25" t="s">
        <v>35</v>
      </c>
      <c r="K25">
        <v>12.64</v>
      </c>
      <c r="L25">
        <v>5.3760000000000002E-2</v>
      </c>
      <c r="M25">
        <v>1.9999999999999983E-3</v>
      </c>
      <c r="N25">
        <v>1.0000000000000009E-2</v>
      </c>
      <c r="O25" s="2" t="s">
        <v>228</v>
      </c>
      <c r="P25" t="s">
        <v>65</v>
      </c>
      <c r="Q25" s="19" t="str">
        <f>Tableau1[[#This Row],[Voie de transport]]&amp;Tableau1[[#This Row],[Type de chargement]]</f>
        <v>Voie navigable VIbVrac</v>
      </c>
      <c r="R25" s="19" t="str">
        <f>Tableau1[[#This Row],[Voie X Fret]]&amp;Tableau1[[#This Row],[Densité de chargement ]]</f>
        <v>Voie navigable VIbVracLéger</v>
      </c>
    </row>
    <row r="26" spans="1:18" x14ac:dyDescent="0.3">
      <c r="A26" t="s">
        <v>52</v>
      </c>
      <c r="B26" s="28" t="s">
        <v>53</v>
      </c>
      <c r="C26" s="28" t="s">
        <v>15</v>
      </c>
      <c r="D26" s="28" t="s">
        <v>63</v>
      </c>
      <c r="E26" s="28" t="s">
        <v>67</v>
      </c>
      <c r="F26" s="28"/>
      <c r="G26">
        <v>0.06</v>
      </c>
      <c r="H26">
        <v>5000</v>
      </c>
      <c r="I26" s="61">
        <v>0.13</v>
      </c>
      <c r="J26" t="s">
        <v>34</v>
      </c>
      <c r="K26" s="6">
        <v>4.1759999999999993</v>
      </c>
      <c r="L26" s="6">
        <v>2.6400000000000001E-5</v>
      </c>
      <c r="M26" s="6" t="s">
        <v>56</v>
      </c>
      <c r="N26" s="6" t="s">
        <v>56</v>
      </c>
      <c r="O26" s="2" t="s">
        <v>228</v>
      </c>
      <c r="P26" s="28" t="s">
        <v>57</v>
      </c>
      <c r="Q26" s="19" t="str">
        <f>Tableau1[[#This Row],[Voie de transport]]&amp;Tableau1[[#This Row],[Type de chargement]]</f>
        <v>Voie navigable VaVrac</v>
      </c>
      <c r="R26" s="19" t="str">
        <f>Tableau1[[#This Row],[Voie X Fret]]&amp;Tableau1[[#This Row],[Densité de chargement ]]</f>
        <v>Voie navigable VaVracLéger</v>
      </c>
    </row>
    <row r="27" spans="1:18" x14ac:dyDescent="0.3">
      <c r="A27" t="s">
        <v>52</v>
      </c>
      <c r="B27" s="28" t="s">
        <v>53</v>
      </c>
      <c r="C27" s="28" t="s">
        <v>15</v>
      </c>
      <c r="D27" s="28" t="s">
        <v>63</v>
      </c>
      <c r="E27" s="28" t="s">
        <v>67</v>
      </c>
      <c r="F27" s="28"/>
      <c r="G27">
        <v>0.06</v>
      </c>
      <c r="H27">
        <v>5000</v>
      </c>
      <c r="I27" s="61">
        <v>0.13</v>
      </c>
      <c r="J27" t="s">
        <v>35</v>
      </c>
      <c r="K27">
        <v>1.3260000000000001</v>
      </c>
      <c r="L27">
        <v>5.64E-3</v>
      </c>
      <c r="M27">
        <v>2.4000000000000001E-4</v>
      </c>
      <c r="N27">
        <v>1.98E-3</v>
      </c>
      <c r="O27" s="2" t="s">
        <v>228</v>
      </c>
      <c r="P27" s="28" t="s">
        <v>57</v>
      </c>
      <c r="Q27" s="19" t="str">
        <f>Tableau1[[#This Row],[Voie de transport]]&amp;Tableau1[[#This Row],[Type de chargement]]</f>
        <v>Voie navigable VaVrac</v>
      </c>
      <c r="R27" s="19" t="str">
        <f>Tableau1[[#This Row],[Voie X Fret]]&amp;Tableau1[[#This Row],[Densité de chargement ]]</f>
        <v>Voie navigable VaVracLéger</v>
      </c>
    </row>
    <row r="28" spans="1:18" x14ac:dyDescent="0.3">
      <c r="A28" t="s">
        <v>52</v>
      </c>
      <c r="B28" t="s">
        <v>62</v>
      </c>
      <c r="C28" t="s">
        <v>15</v>
      </c>
      <c r="D28" t="s">
        <v>63</v>
      </c>
      <c r="E28" t="s">
        <v>67</v>
      </c>
      <c r="G28">
        <v>0.4</v>
      </c>
      <c r="H28">
        <v>5000</v>
      </c>
      <c r="I28" s="61">
        <v>0.13</v>
      </c>
      <c r="J28" t="s">
        <v>34</v>
      </c>
      <c r="K28">
        <v>27.91</v>
      </c>
      <c r="L28">
        <v>1.7000000000000001E-4</v>
      </c>
      <c r="M28">
        <v>1.0999999999999999E-2</v>
      </c>
      <c r="N28">
        <v>0.37</v>
      </c>
      <c r="O28" s="2" t="s">
        <v>228</v>
      </c>
      <c r="P28" t="s">
        <v>65</v>
      </c>
      <c r="Q28" s="19" t="str">
        <f>Tableau1[[#This Row],[Voie de transport]]&amp;Tableau1[[#This Row],[Type de chargement]]</f>
        <v>Voie navigable VIbVrac</v>
      </c>
      <c r="R28" s="19" t="str">
        <f>Tableau1[[#This Row],[Voie X Fret]]&amp;Tableau1[[#This Row],[Densité de chargement ]]</f>
        <v>Voie navigable VIbVracLéger</v>
      </c>
    </row>
    <row r="29" spans="1:18" x14ac:dyDescent="0.3">
      <c r="A29" t="s">
        <v>52</v>
      </c>
      <c r="B29" s="28" t="s">
        <v>62</v>
      </c>
      <c r="C29" s="28" t="s">
        <v>15</v>
      </c>
      <c r="D29" s="28" t="s">
        <v>63</v>
      </c>
      <c r="E29" s="28" t="s">
        <v>67</v>
      </c>
      <c r="G29">
        <v>0.4</v>
      </c>
      <c r="H29">
        <v>5000</v>
      </c>
      <c r="I29" s="61">
        <v>0.13</v>
      </c>
      <c r="J29" t="s">
        <v>35</v>
      </c>
      <c r="K29">
        <v>8.879999999999999</v>
      </c>
      <c r="L29">
        <v>3.7830000000000003E-2</v>
      </c>
      <c r="M29">
        <v>1.0000000000000009E-3</v>
      </c>
      <c r="N29">
        <v>1.0000000000000009E-2</v>
      </c>
      <c r="O29" s="2" t="s">
        <v>228</v>
      </c>
      <c r="P29" t="s">
        <v>65</v>
      </c>
      <c r="Q29" s="19" t="str">
        <f>Tableau1[[#This Row],[Voie de transport]]&amp;Tableau1[[#This Row],[Type de chargement]]</f>
        <v>Voie navigable VIbVrac</v>
      </c>
      <c r="R29" s="19" t="str">
        <f>Tableau1[[#This Row],[Voie X Fret]]&amp;Tableau1[[#This Row],[Densité de chargement ]]</f>
        <v>Voie navigable VIbVracLéger</v>
      </c>
    </row>
    <row r="30" spans="1:18" x14ac:dyDescent="0.3">
      <c r="A30" t="s">
        <v>52</v>
      </c>
      <c r="B30" s="28" t="s">
        <v>53</v>
      </c>
      <c r="C30" s="28" t="s">
        <v>15</v>
      </c>
      <c r="D30" s="28" t="s">
        <v>63</v>
      </c>
      <c r="E30" s="28" t="s">
        <v>68</v>
      </c>
      <c r="F30" s="28"/>
      <c r="G30">
        <v>0.38</v>
      </c>
      <c r="H30">
        <v>1000</v>
      </c>
      <c r="I30" s="61">
        <v>0.13</v>
      </c>
      <c r="J30" t="s">
        <v>34</v>
      </c>
      <c r="K30" s="6">
        <v>26.447999999999997</v>
      </c>
      <c r="L30" s="6">
        <v>1.672E-4</v>
      </c>
      <c r="M30" s="6" t="s">
        <v>56</v>
      </c>
      <c r="N30" s="6" t="s">
        <v>56</v>
      </c>
      <c r="O30" s="2" t="s">
        <v>228</v>
      </c>
      <c r="P30" s="28" t="s">
        <v>57</v>
      </c>
      <c r="Q30" s="19" t="str">
        <f>Tableau1[[#This Row],[Voie de transport]]&amp;Tableau1[[#This Row],[Type de chargement]]</f>
        <v>Voie navigable VaVrac</v>
      </c>
      <c r="R30" s="19" t="str">
        <f>Tableau1[[#This Row],[Voie X Fret]]&amp;Tableau1[[#This Row],[Densité de chargement ]]</f>
        <v>Voie navigable VaVracLéger</v>
      </c>
    </row>
    <row r="31" spans="1:18" x14ac:dyDescent="0.3">
      <c r="A31" t="s">
        <v>52</v>
      </c>
      <c r="B31" s="28" t="s">
        <v>53</v>
      </c>
      <c r="C31" s="28" t="s">
        <v>15</v>
      </c>
      <c r="D31" s="28" t="s">
        <v>63</v>
      </c>
      <c r="E31" s="28" t="s">
        <v>68</v>
      </c>
      <c r="F31" s="28"/>
      <c r="G31">
        <v>0.38</v>
      </c>
      <c r="H31">
        <v>1000</v>
      </c>
      <c r="I31" s="61">
        <v>0.13</v>
      </c>
      <c r="J31" t="s">
        <v>35</v>
      </c>
      <c r="K31">
        <v>8.3980000000000015</v>
      </c>
      <c r="L31">
        <v>3.5720000000000002E-2</v>
      </c>
      <c r="M31">
        <v>1.5200000000000001E-3</v>
      </c>
      <c r="N31">
        <v>1.2540000000000001E-2</v>
      </c>
      <c r="O31" s="2" t="s">
        <v>228</v>
      </c>
      <c r="P31" s="28" t="s">
        <v>57</v>
      </c>
      <c r="Q31" s="19" t="str">
        <f>Tableau1[[#This Row],[Voie de transport]]&amp;Tableau1[[#This Row],[Type de chargement]]</f>
        <v>Voie navigable VaVrac</v>
      </c>
      <c r="R31" s="19" t="str">
        <f>Tableau1[[#This Row],[Voie X Fret]]&amp;Tableau1[[#This Row],[Densité de chargement ]]</f>
        <v>Voie navigable VaVracLéger</v>
      </c>
    </row>
    <row r="32" spans="1:18" x14ac:dyDescent="0.3">
      <c r="A32" t="s">
        <v>52</v>
      </c>
      <c r="B32" s="28" t="s">
        <v>62</v>
      </c>
      <c r="C32" s="28" t="s">
        <v>15</v>
      </c>
      <c r="D32" s="28" t="s">
        <v>63</v>
      </c>
      <c r="E32" s="28" t="s">
        <v>68</v>
      </c>
      <c r="G32">
        <v>0.48</v>
      </c>
      <c r="H32">
        <v>1000</v>
      </c>
      <c r="I32" s="61">
        <v>0.13</v>
      </c>
      <c r="J32" t="s">
        <v>34</v>
      </c>
      <c r="K32">
        <v>33.407999999999994</v>
      </c>
      <c r="L32">
        <v>2.1120000000000001E-4</v>
      </c>
      <c r="M32" t="s">
        <v>56</v>
      </c>
      <c r="N32" t="s">
        <v>56</v>
      </c>
      <c r="O32" s="2" t="s">
        <v>228</v>
      </c>
      <c r="P32" s="28" t="s">
        <v>57</v>
      </c>
      <c r="Q32" s="19" t="str">
        <f>Tableau1[[#This Row],[Voie de transport]]&amp;Tableau1[[#This Row],[Type de chargement]]</f>
        <v>Voie navigable VIbVrac</v>
      </c>
      <c r="R32" s="19" t="str">
        <f>Tableau1[[#This Row],[Voie X Fret]]&amp;Tableau1[[#This Row],[Densité de chargement ]]</f>
        <v>Voie navigable VIbVracLéger</v>
      </c>
    </row>
    <row r="33" spans="1:18" x14ac:dyDescent="0.3">
      <c r="A33" t="s">
        <v>52</v>
      </c>
      <c r="B33" s="28" t="s">
        <v>62</v>
      </c>
      <c r="C33" s="28" t="s">
        <v>15</v>
      </c>
      <c r="D33" s="28" t="s">
        <v>63</v>
      </c>
      <c r="E33" s="28" t="s">
        <v>68</v>
      </c>
      <c r="G33">
        <v>0.48</v>
      </c>
      <c r="H33">
        <v>1000</v>
      </c>
      <c r="I33" s="61">
        <v>0.13</v>
      </c>
      <c r="J33" t="s">
        <v>35</v>
      </c>
      <c r="K33">
        <v>10.608000000000001</v>
      </c>
      <c r="L33">
        <v>4.512E-2</v>
      </c>
      <c r="M33">
        <v>1.92E-3</v>
      </c>
      <c r="N33">
        <v>1.584E-2</v>
      </c>
      <c r="O33" s="2" t="s">
        <v>228</v>
      </c>
      <c r="P33" s="28" t="s">
        <v>57</v>
      </c>
      <c r="Q33" s="19" t="str">
        <f>Tableau1[[#This Row],[Voie de transport]]&amp;Tableau1[[#This Row],[Type de chargement]]</f>
        <v>Voie navigable VIbVrac</v>
      </c>
      <c r="R33" s="19" t="str">
        <f>Tableau1[[#This Row],[Voie X Fret]]&amp;Tableau1[[#This Row],[Densité de chargement ]]</f>
        <v>Voie navigable VIbVracLéger</v>
      </c>
    </row>
    <row r="34" spans="1:18" x14ac:dyDescent="0.3">
      <c r="A34" t="s">
        <v>52</v>
      </c>
      <c r="B34" s="28" t="s">
        <v>53</v>
      </c>
      <c r="C34" s="28" t="s">
        <v>15</v>
      </c>
      <c r="D34" s="28" t="s">
        <v>63</v>
      </c>
      <c r="E34" s="28" t="s">
        <v>69</v>
      </c>
      <c r="F34" s="28"/>
      <c r="G34">
        <v>0.22</v>
      </c>
      <c r="H34">
        <v>3000</v>
      </c>
      <c r="I34" s="61">
        <v>0.13</v>
      </c>
      <c r="J34" t="s">
        <v>34</v>
      </c>
      <c r="K34">
        <v>15.08</v>
      </c>
      <c r="L34">
        <v>9.0000000000000006E-5</v>
      </c>
      <c r="M34">
        <v>1.0999999999999999E-2</v>
      </c>
      <c r="N34">
        <v>0.24</v>
      </c>
      <c r="O34" s="2" t="s">
        <v>228</v>
      </c>
      <c r="P34" t="s">
        <v>66</v>
      </c>
      <c r="Q34" s="19" t="str">
        <f>Tableau1[[#This Row],[Voie de transport]]&amp;Tableau1[[#This Row],[Type de chargement]]</f>
        <v>Voie navigable VaVrac</v>
      </c>
      <c r="R34" s="19" t="str">
        <f>Tableau1[[#This Row],[Voie X Fret]]&amp;Tableau1[[#This Row],[Densité de chargement ]]</f>
        <v>Voie navigable VaVracLéger</v>
      </c>
    </row>
    <row r="35" spans="1:18" x14ac:dyDescent="0.3">
      <c r="A35" t="s">
        <v>52</v>
      </c>
      <c r="B35" s="28" t="s">
        <v>53</v>
      </c>
      <c r="C35" s="28" t="s">
        <v>15</v>
      </c>
      <c r="D35" s="28" t="s">
        <v>63</v>
      </c>
      <c r="E35" s="28" t="s">
        <v>69</v>
      </c>
      <c r="F35" s="28"/>
      <c r="G35">
        <v>0.22</v>
      </c>
      <c r="H35">
        <v>3000</v>
      </c>
      <c r="I35" s="61">
        <v>0.13</v>
      </c>
      <c r="J35" t="s">
        <v>35</v>
      </c>
      <c r="K35">
        <v>4.7900000000000009</v>
      </c>
      <c r="L35">
        <v>2.0910000000000002E-2</v>
      </c>
      <c r="M35">
        <v>1.0000000000000009E-3</v>
      </c>
      <c r="N35">
        <v>1.0000000000000009E-2</v>
      </c>
      <c r="O35" s="2" t="s">
        <v>228</v>
      </c>
      <c r="P35" t="s">
        <v>65</v>
      </c>
      <c r="Q35" s="19" t="str">
        <f>Tableau1[[#This Row],[Voie de transport]]&amp;Tableau1[[#This Row],[Type de chargement]]</f>
        <v>Voie navigable VaVrac</v>
      </c>
      <c r="R35" s="19" t="str">
        <f>Tableau1[[#This Row],[Voie X Fret]]&amp;Tableau1[[#This Row],[Densité de chargement ]]</f>
        <v>Voie navigable VaVracLéger</v>
      </c>
    </row>
    <row r="36" spans="1:18" x14ac:dyDescent="0.3">
      <c r="A36" t="s">
        <v>52</v>
      </c>
      <c r="B36" s="28" t="s">
        <v>62</v>
      </c>
      <c r="C36" s="28" t="s">
        <v>15</v>
      </c>
      <c r="D36" s="28" t="s">
        <v>63</v>
      </c>
      <c r="E36" s="28" t="s">
        <v>69</v>
      </c>
      <c r="G36">
        <v>0.33</v>
      </c>
      <c r="H36">
        <v>3000</v>
      </c>
      <c r="I36" s="61">
        <v>0.13</v>
      </c>
      <c r="J36" t="s">
        <v>34</v>
      </c>
      <c r="K36">
        <v>22.81</v>
      </c>
      <c r="L36">
        <v>1.3999999999999999E-4</v>
      </c>
      <c r="M36">
        <v>1.2999999999999999E-2</v>
      </c>
      <c r="N36">
        <v>0.32</v>
      </c>
      <c r="O36" s="2" t="s">
        <v>228</v>
      </c>
      <c r="P36" t="s">
        <v>65</v>
      </c>
      <c r="Q36" s="19" t="str">
        <f>Tableau1[[#This Row],[Voie de transport]]&amp;Tableau1[[#This Row],[Type de chargement]]</f>
        <v>Voie navigable VIbVrac</v>
      </c>
      <c r="R36" s="19" t="str">
        <f>Tableau1[[#This Row],[Voie X Fret]]&amp;Tableau1[[#This Row],[Densité de chargement ]]</f>
        <v>Voie navigable VIbVracLéger</v>
      </c>
    </row>
    <row r="37" spans="1:18" x14ac:dyDescent="0.3">
      <c r="A37" t="s">
        <v>52</v>
      </c>
      <c r="B37" s="28" t="s">
        <v>62</v>
      </c>
      <c r="C37" s="28" t="s">
        <v>15</v>
      </c>
      <c r="D37" s="28" t="s">
        <v>63</v>
      </c>
      <c r="E37" s="28" t="s">
        <v>69</v>
      </c>
      <c r="G37">
        <v>0.33</v>
      </c>
      <c r="H37">
        <v>3000</v>
      </c>
      <c r="I37" s="61">
        <v>0.13</v>
      </c>
      <c r="J37" t="s">
        <v>35</v>
      </c>
      <c r="K37">
        <v>7.25</v>
      </c>
      <c r="L37">
        <v>3.0859999999999999E-2</v>
      </c>
      <c r="M37">
        <v>1.0000000000000009E-3</v>
      </c>
      <c r="N37">
        <v>1.0000000000000009E-2</v>
      </c>
      <c r="O37" s="2" t="s">
        <v>228</v>
      </c>
      <c r="P37" t="s">
        <v>65</v>
      </c>
      <c r="Q37" s="19" t="str">
        <f>Tableau1[[#This Row],[Voie de transport]]&amp;Tableau1[[#This Row],[Type de chargement]]</f>
        <v>Voie navigable VIbVrac</v>
      </c>
      <c r="R37" s="19" t="str">
        <f>Tableau1[[#This Row],[Voie X Fret]]&amp;Tableau1[[#This Row],[Densité de chargement ]]</f>
        <v>Voie navigable VIbVracLéger</v>
      </c>
    </row>
    <row r="38" spans="1:18" x14ac:dyDescent="0.3">
      <c r="A38" t="s">
        <v>52</v>
      </c>
      <c r="B38" s="28" t="s">
        <v>53</v>
      </c>
      <c r="C38" s="28" t="s">
        <v>15</v>
      </c>
      <c r="D38" s="28" t="s">
        <v>63</v>
      </c>
      <c r="E38" s="28" t="s">
        <v>70</v>
      </c>
      <c r="F38" s="28"/>
      <c r="G38">
        <v>0.3</v>
      </c>
      <c r="H38">
        <v>2000</v>
      </c>
      <c r="I38" s="61">
        <v>0.13</v>
      </c>
      <c r="J38" t="s">
        <v>34</v>
      </c>
      <c r="K38" s="6">
        <v>20.88</v>
      </c>
      <c r="L38" s="6">
        <v>1.3200000000000001E-4</v>
      </c>
      <c r="M38" s="6" t="s">
        <v>56</v>
      </c>
      <c r="N38" s="6" t="s">
        <v>56</v>
      </c>
      <c r="O38" s="2" t="s">
        <v>228</v>
      </c>
      <c r="P38" s="28" t="s">
        <v>57</v>
      </c>
      <c r="Q38" s="19" t="str">
        <f>Tableau1[[#This Row],[Voie de transport]]&amp;Tableau1[[#This Row],[Type de chargement]]</f>
        <v>Voie navigable VaVrac</v>
      </c>
      <c r="R38" s="19" t="str">
        <f>Tableau1[[#This Row],[Voie X Fret]]&amp;Tableau1[[#This Row],[Densité de chargement ]]</f>
        <v>Voie navigable VaVracLéger</v>
      </c>
    </row>
    <row r="39" spans="1:18" x14ac:dyDescent="0.3">
      <c r="A39" t="s">
        <v>52</v>
      </c>
      <c r="B39" s="28" t="s">
        <v>62</v>
      </c>
      <c r="C39" s="28" t="s">
        <v>15</v>
      </c>
      <c r="D39" s="28" t="s">
        <v>63</v>
      </c>
      <c r="E39" s="28" t="s">
        <v>70</v>
      </c>
      <c r="G39">
        <v>0.45</v>
      </c>
      <c r="H39">
        <v>2000</v>
      </c>
      <c r="I39" s="61">
        <v>0.13</v>
      </c>
      <c r="J39" t="s">
        <v>35</v>
      </c>
      <c r="K39">
        <v>9.9450000000000003</v>
      </c>
      <c r="L39">
        <v>4.2300000000000004E-2</v>
      </c>
      <c r="M39">
        <v>1.8000000000000002E-3</v>
      </c>
      <c r="N39">
        <v>1.485E-2</v>
      </c>
      <c r="O39" s="2" t="s">
        <v>228</v>
      </c>
      <c r="P39" s="28" t="s">
        <v>57</v>
      </c>
      <c r="Q39" s="19" t="str">
        <f>Tableau1[[#This Row],[Voie de transport]]&amp;Tableau1[[#This Row],[Type de chargement]]</f>
        <v>Voie navigable VIbVrac</v>
      </c>
      <c r="R39" s="19" t="str">
        <f>Tableau1[[#This Row],[Voie X Fret]]&amp;Tableau1[[#This Row],[Densité de chargement ]]</f>
        <v>Voie navigable VIbVracLéger</v>
      </c>
    </row>
    <row r="40" spans="1:18" x14ac:dyDescent="0.3">
      <c r="A40" t="s">
        <v>52</v>
      </c>
      <c r="B40" s="28" t="s">
        <v>53</v>
      </c>
      <c r="C40" s="28" t="s">
        <v>15</v>
      </c>
      <c r="D40" s="28" t="s">
        <v>63</v>
      </c>
      <c r="E40" s="28" t="s">
        <v>70</v>
      </c>
      <c r="F40" s="28"/>
      <c r="G40">
        <v>0.3</v>
      </c>
      <c r="H40">
        <v>2000</v>
      </c>
      <c r="I40" s="61">
        <v>0.13</v>
      </c>
      <c r="J40" t="s">
        <v>35</v>
      </c>
      <c r="K40">
        <v>6.63</v>
      </c>
      <c r="L40">
        <v>2.8199999999999999E-2</v>
      </c>
      <c r="M40">
        <v>1.1999999999999999E-3</v>
      </c>
      <c r="N40">
        <v>9.9000000000000008E-3</v>
      </c>
      <c r="O40" s="2" t="s">
        <v>228</v>
      </c>
      <c r="P40" s="28" t="s">
        <v>57</v>
      </c>
      <c r="Q40" s="19" t="str">
        <f>Tableau1[[#This Row],[Voie de transport]]&amp;Tableau1[[#This Row],[Type de chargement]]</f>
        <v>Voie navigable VaVrac</v>
      </c>
      <c r="R40" s="19" t="str">
        <f>Tableau1[[#This Row],[Voie X Fret]]&amp;Tableau1[[#This Row],[Densité de chargement ]]</f>
        <v>Voie navigable VaVracLéger</v>
      </c>
    </row>
    <row r="41" spans="1:18" x14ac:dyDescent="0.3">
      <c r="A41" t="s">
        <v>52</v>
      </c>
      <c r="B41" s="28" t="s">
        <v>62</v>
      </c>
      <c r="C41" s="28" t="s">
        <v>15</v>
      </c>
      <c r="D41" s="28" t="s">
        <v>63</v>
      </c>
      <c r="E41" s="28" t="s">
        <v>70</v>
      </c>
      <c r="G41">
        <v>0.45</v>
      </c>
      <c r="H41">
        <v>2000</v>
      </c>
      <c r="I41" s="61">
        <v>0.13</v>
      </c>
      <c r="J41" t="s">
        <v>34</v>
      </c>
      <c r="K41">
        <v>31.319999999999997</v>
      </c>
      <c r="L41">
        <v>1.9800000000000002E-4</v>
      </c>
      <c r="M41" t="s">
        <v>56</v>
      </c>
      <c r="N41" t="s">
        <v>56</v>
      </c>
      <c r="O41" s="2" t="s">
        <v>228</v>
      </c>
      <c r="P41" s="28" t="s">
        <v>57</v>
      </c>
      <c r="Q41" s="19" t="str">
        <f>Tableau1[[#This Row],[Voie de transport]]&amp;Tableau1[[#This Row],[Type de chargement]]</f>
        <v>Voie navigable VIbVrac</v>
      </c>
      <c r="R41" s="19" t="str">
        <f>Tableau1[[#This Row],[Voie X Fret]]&amp;Tableau1[[#This Row],[Densité de chargement ]]</f>
        <v>Voie navigable VIbVracLéger</v>
      </c>
    </row>
    <row r="42" spans="1:18" x14ac:dyDescent="0.3">
      <c r="A42" t="s">
        <v>52</v>
      </c>
      <c r="B42" s="28" t="s">
        <v>53</v>
      </c>
      <c r="C42" s="28" t="s">
        <v>15</v>
      </c>
      <c r="D42" s="28" t="s">
        <v>63</v>
      </c>
      <c r="E42" s="28" t="s">
        <v>61</v>
      </c>
      <c r="F42" s="28"/>
      <c r="G42">
        <v>0.34</v>
      </c>
      <c r="H42">
        <v>1350</v>
      </c>
      <c r="I42" s="61">
        <v>0.25</v>
      </c>
      <c r="J42" t="s">
        <v>34</v>
      </c>
      <c r="K42">
        <v>23.75</v>
      </c>
      <c r="L42">
        <v>1.3999999999999999E-4</v>
      </c>
      <c r="M42">
        <v>1.2E-2</v>
      </c>
      <c r="N42">
        <v>0.33</v>
      </c>
      <c r="O42" s="2" t="s">
        <v>228</v>
      </c>
      <c r="P42" t="s">
        <v>66</v>
      </c>
      <c r="Q42" s="19" t="str">
        <f>Tableau1[[#This Row],[Voie de transport]]&amp;Tableau1[[#This Row],[Type de chargement]]</f>
        <v>Voie navigable VaVrac</v>
      </c>
      <c r="R42" s="19" t="str">
        <f>Tableau1[[#This Row],[Voie X Fret]]&amp;Tableau1[[#This Row],[Densité de chargement ]]</f>
        <v>Voie navigable VaVracLéger</v>
      </c>
    </row>
    <row r="43" spans="1:18" x14ac:dyDescent="0.3">
      <c r="A43" t="s">
        <v>52</v>
      </c>
      <c r="B43" s="28" t="s">
        <v>53</v>
      </c>
      <c r="C43" s="28" t="s">
        <v>15</v>
      </c>
      <c r="D43" s="28" t="s">
        <v>63</v>
      </c>
      <c r="E43" s="28" t="s">
        <v>61</v>
      </c>
      <c r="F43" s="28"/>
      <c r="G43">
        <v>0.34</v>
      </c>
      <c r="H43">
        <v>1350</v>
      </c>
      <c r="I43" s="61">
        <v>0.25</v>
      </c>
      <c r="J43" t="s">
        <v>35</v>
      </c>
      <c r="K43">
        <v>7.5500000000000007</v>
      </c>
      <c r="L43">
        <v>3.1859999999999999E-2</v>
      </c>
      <c r="M43">
        <v>9.9999999999999915E-4</v>
      </c>
      <c r="N43">
        <v>1.0000000000000009E-2</v>
      </c>
      <c r="O43" s="2" t="s">
        <v>228</v>
      </c>
      <c r="P43" t="s">
        <v>65</v>
      </c>
      <c r="Q43" s="19" t="str">
        <f>Tableau1[[#This Row],[Voie de transport]]&amp;Tableau1[[#This Row],[Type de chargement]]</f>
        <v>Voie navigable VaVrac</v>
      </c>
      <c r="R43" s="19" t="str">
        <f>Tableau1[[#This Row],[Voie X Fret]]&amp;Tableau1[[#This Row],[Densité de chargement ]]</f>
        <v>Voie navigable VaVracLéger</v>
      </c>
    </row>
    <row r="44" spans="1:18" x14ac:dyDescent="0.3">
      <c r="A44" t="s">
        <v>52</v>
      </c>
      <c r="B44" s="28" t="s">
        <v>62</v>
      </c>
      <c r="C44" s="28" t="s">
        <v>15</v>
      </c>
      <c r="D44" s="28" t="s">
        <v>63</v>
      </c>
      <c r="E44" s="28" t="s">
        <v>61</v>
      </c>
      <c r="G44">
        <v>0.48</v>
      </c>
      <c r="H44">
        <v>1350</v>
      </c>
      <c r="I44" s="61">
        <v>0.25</v>
      </c>
      <c r="J44" t="s">
        <v>34</v>
      </c>
      <c r="K44">
        <v>33.28</v>
      </c>
      <c r="L44">
        <v>2.0000000000000001E-4</v>
      </c>
      <c r="M44">
        <v>1.6E-2</v>
      </c>
      <c r="N44">
        <v>0.46</v>
      </c>
      <c r="O44" s="2" t="s">
        <v>228</v>
      </c>
      <c r="P44" t="s">
        <v>66</v>
      </c>
      <c r="Q44" s="19" t="str">
        <f>Tableau1[[#This Row],[Voie de transport]]&amp;Tableau1[[#This Row],[Type de chargement]]</f>
        <v>Voie navigable VIbVrac</v>
      </c>
      <c r="R44" s="19" t="str">
        <f>Tableau1[[#This Row],[Voie X Fret]]&amp;Tableau1[[#This Row],[Densité de chargement ]]</f>
        <v>Voie navigable VIbVracLéger</v>
      </c>
    </row>
    <row r="45" spans="1:18" x14ac:dyDescent="0.3">
      <c r="A45" t="s">
        <v>52</v>
      </c>
      <c r="B45" s="28" t="s">
        <v>62</v>
      </c>
      <c r="C45" s="28" t="s">
        <v>15</v>
      </c>
      <c r="D45" s="28" t="s">
        <v>63</v>
      </c>
      <c r="E45" s="28" t="s">
        <v>61</v>
      </c>
      <c r="G45">
        <v>0.48</v>
      </c>
      <c r="H45">
        <v>1350</v>
      </c>
      <c r="I45" s="61">
        <v>0.25</v>
      </c>
      <c r="J45" t="s">
        <v>35</v>
      </c>
      <c r="K45">
        <v>10.579999999999998</v>
      </c>
      <c r="L45">
        <v>4.48E-2</v>
      </c>
      <c r="M45">
        <v>1.9999999999999983E-3</v>
      </c>
      <c r="N45">
        <v>9.9999999999999534E-3</v>
      </c>
      <c r="O45" s="2" t="s">
        <v>228</v>
      </c>
      <c r="P45" t="s">
        <v>65</v>
      </c>
      <c r="Q45" s="19" t="str">
        <f>Tableau1[[#This Row],[Voie de transport]]&amp;Tableau1[[#This Row],[Type de chargement]]</f>
        <v>Voie navigable VIbVrac</v>
      </c>
      <c r="R45" s="19" t="str">
        <f>Tableau1[[#This Row],[Voie X Fret]]&amp;Tableau1[[#This Row],[Densité de chargement ]]</f>
        <v>Voie navigable VIbVracLéger</v>
      </c>
    </row>
    <row r="46" spans="1:18" x14ac:dyDescent="0.3">
      <c r="A46" t="s">
        <v>52</v>
      </c>
      <c r="B46" t="s">
        <v>53</v>
      </c>
      <c r="C46" t="s">
        <v>15</v>
      </c>
      <c r="D46" t="s">
        <v>63</v>
      </c>
      <c r="E46" t="s">
        <v>71</v>
      </c>
      <c r="G46">
        <v>0.4</v>
      </c>
      <c r="H46">
        <v>350</v>
      </c>
      <c r="I46" s="61">
        <v>0.25</v>
      </c>
      <c r="J46" t="s">
        <v>34</v>
      </c>
      <c r="K46">
        <v>27.57</v>
      </c>
      <c r="L46">
        <v>1.7000000000000001E-4</v>
      </c>
      <c r="M46">
        <v>2.1000000000000001E-2</v>
      </c>
      <c r="N46">
        <v>0.4</v>
      </c>
      <c r="O46" s="2" t="s">
        <v>228</v>
      </c>
      <c r="P46" t="s">
        <v>66</v>
      </c>
      <c r="Q46" s="19" t="str">
        <f>Tableau1[[#This Row],[Voie de transport]]&amp;Tableau1[[#This Row],[Type de chargement]]</f>
        <v>Voie navigable VaVrac</v>
      </c>
      <c r="R46" s="19" t="str">
        <f>Tableau1[[#This Row],[Voie X Fret]]&amp;Tableau1[[#This Row],[Densité de chargement ]]</f>
        <v>Voie navigable VaVracLéger</v>
      </c>
    </row>
    <row r="47" spans="1:18" x14ac:dyDescent="0.3">
      <c r="A47" t="s">
        <v>52</v>
      </c>
      <c r="B47" t="s">
        <v>53</v>
      </c>
      <c r="C47" t="s">
        <v>15</v>
      </c>
      <c r="D47" t="s">
        <v>63</v>
      </c>
      <c r="E47" t="s">
        <v>71</v>
      </c>
      <c r="G47">
        <v>0.4</v>
      </c>
      <c r="H47">
        <v>350</v>
      </c>
      <c r="I47" s="61">
        <v>0.25</v>
      </c>
      <c r="J47" t="s">
        <v>35</v>
      </c>
      <c r="K47">
        <v>8.7700000000000031</v>
      </c>
      <c r="L47" s="5">
        <v>3.7830000000000003E-2</v>
      </c>
      <c r="M47">
        <v>9.9999999999999742E-4</v>
      </c>
      <c r="N47">
        <v>9.9999999999999534E-3</v>
      </c>
      <c r="O47" s="2" t="s">
        <v>228</v>
      </c>
      <c r="P47" t="s">
        <v>65</v>
      </c>
      <c r="Q47" s="19" t="str">
        <f>Tableau1[[#This Row],[Voie de transport]]&amp;Tableau1[[#This Row],[Type de chargement]]</f>
        <v>Voie navigable VaVrac</v>
      </c>
      <c r="R47" s="19" t="str">
        <f>Tableau1[[#This Row],[Voie X Fret]]&amp;Tableau1[[#This Row],[Densité de chargement ]]</f>
        <v>Voie navigable VaVracLéger</v>
      </c>
    </row>
    <row r="48" spans="1:18" x14ac:dyDescent="0.3">
      <c r="A48" t="s">
        <v>52</v>
      </c>
      <c r="B48" t="s">
        <v>62</v>
      </c>
      <c r="C48" t="s">
        <v>15</v>
      </c>
      <c r="D48" t="s">
        <v>63</v>
      </c>
      <c r="E48" t="s">
        <v>71</v>
      </c>
      <c r="G48">
        <v>0.46</v>
      </c>
      <c r="H48">
        <v>350</v>
      </c>
      <c r="I48" s="61">
        <v>0.25</v>
      </c>
      <c r="J48" t="s">
        <v>34</v>
      </c>
      <c r="K48">
        <v>32.14</v>
      </c>
      <c r="L48">
        <v>1.9000000000000001E-4</v>
      </c>
      <c r="M48">
        <v>2.3E-2</v>
      </c>
      <c r="N48">
        <v>0.46</v>
      </c>
      <c r="O48" s="2" t="s">
        <v>228</v>
      </c>
      <c r="P48" t="s">
        <v>65</v>
      </c>
      <c r="Q48" s="19" t="str">
        <f>Tableau1[[#This Row],[Voie de transport]]&amp;Tableau1[[#This Row],[Type de chargement]]</f>
        <v>Voie navigable VIbVrac</v>
      </c>
      <c r="R48" s="19" t="str">
        <f>Tableau1[[#This Row],[Voie X Fret]]&amp;Tableau1[[#This Row],[Densité de chargement ]]</f>
        <v>Voie navigable VIbVracLéger</v>
      </c>
    </row>
    <row r="49" spans="1:18" x14ac:dyDescent="0.3">
      <c r="A49" t="s">
        <v>52</v>
      </c>
      <c r="B49" t="s">
        <v>62</v>
      </c>
      <c r="C49" t="s">
        <v>15</v>
      </c>
      <c r="D49" t="s">
        <v>63</v>
      </c>
      <c r="E49" t="s">
        <v>71</v>
      </c>
      <c r="G49">
        <v>0.46</v>
      </c>
      <c r="H49">
        <v>350</v>
      </c>
      <c r="I49" s="61">
        <v>0.25</v>
      </c>
      <c r="J49" t="s">
        <v>35</v>
      </c>
      <c r="K49">
        <v>10.219999999999999</v>
      </c>
      <c r="L49">
        <v>4.3809999999999995E-2</v>
      </c>
      <c r="M49">
        <v>2.0000000000000018E-3</v>
      </c>
      <c r="N49">
        <v>9.9999999999999534E-3</v>
      </c>
      <c r="O49" s="2" t="s">
        <v>228</v>
      </c>
      <c r="P49" t="s">
        <v>65</v>
      </c>
      <c r="Q49" s="19" t="str">
        <f>Tableau1[[#This Row],[Voie de transport]]&amp;Tableau1[[#This Row],[Type de chargement]]</f>
        <v>Voie navigable VIbVrac</v>
      </c>
      <c r="R49" s="19" t="str">
        <f>Tableau1[[#This Row],[Voie X Fret]]&amp;Tableau1[[#This Row],[Densité de chargement ]]</f>
        <v>Voie navigable VIbVracLéger</v>
      </c>
    </row>
    <row r="50" spans="1:18" x14ac:dyDescent="0.3">
      <c r="A50" t="s">
        <v>52</v>
      </c>
      <c r="B50" t="s">
        <v>53</v>
      </c>
      <c r="C50" t="s">
        <v>54</v>
      </c>
      <c r="D50" t="s">
        <v>72</v>
      </c>
      <c r="E50" t="s">
        <v>55</v>
      </c>
      <c r="F50" s="2"/>
      <c r="G50">
        <v>0.3175</v>
      </c>
      <c r="H50">
        <v>104</v>
      </c>
      <c r="I50" s="61">
        <v>0.25</v>
      </c>
      <c r="J50" t="s">
        <v>34</v>
      </c>
      <c r="K50">
        <v>22.097999999999999</v>
      </c>
      <c r="L50">
        <v>1.3970000000000001E-4</v>
      </c>
      <c r="M50" t="s">
        <v>56</v>
      </c>
      <c r="N50" t="s">
        <v>56</v>
      </c>
      <c r="O50" s="2" t="s">
        <v>228</v>
      </c>
      <c r="P50" t="s">
        <v>57</v>
      </c>
      <c r="Q50" s="19" t="str">
        <f>Tableau1[[#This Row],[Voie de transport]]&amp;Tableau1[[#This Row],[Type de chargement]]</f>
        <v>Voie navigable VaConteneur</v>
      </c>
      <c r="R50" s="19" t="str">
        <f>Tableau1[[#This Row],[Voie X Fret]]&amp;Tableau1[[#This Row],[Densité de chargement ]]</f>
        <v>Voie navigable VaConteneurLourd</v>
      </c>
    </row>
    <row r="51" spans="1:18" x14ac:dyDescent="0.3">
      <c r="A51" t="s">
        <v>52</v>
      </c>
      <c r="B51" t="s">
        <v>53</v>
      </c>
      <c r="C51" t="s">
        <v>54</v>
      </c>
      <c r="D51" t="s">
        <v>72</v>
      </c>
      <c r="E51" t="s">
        <v>55</v>
      </c>
      <c r="F51" s="2"/>
      <c r="G51">
        <v>0.3175</v>
      </c>
      <c r="H51">
        <v>104</v>
      </c>
      <c r="I51" s="61">
        <v>0.25</v>
      </c>
      <c r="J51" t="s">
        <v>35</v>
      </c>
      <c r="K51">
        <v>7.0167500000000009</v>
      </c>
      <c r="L51">
        <v>2.9845E-2</v>
      </c>
      <c r="M51">
        <v>1.2700000000000001E-3</v>
      </c>
      <c r="N51">
        <v>1.0477500000000001E-2</v>
      </c>
      <c r="O51" s="2" t="s">
        <v>228</v>
      </c>
      <c r="P51" t="s">
        <v>57</v>
      </c>
      <c r="Q51" s="19" t="str">
        <f>Tableau1[[#This Row],[Voie de transport]]&amp;Tableau1[[#This Row],[Type de chargement]]</f>
        <v>Voie navigable VaConteneur</v>
      </c>
      <c r="R51" s="19" t="str">
        <f>Tableau1[[#This Row],[Voie X Fret]]&amp;Tableau1[[#This Row],[Densité de chargement ]]</f>
        <v>Voie navigable VaConteneurLourd</v>
      </c>
    </row>
    <row r="52" spans="1:18" x14ac:dyDescent="0.3">
      <c r="A52" t="s">
        <v>52</v>
      </c>
      <c r="B52" t="s">
        <v>53</v>
      </c>
      <c r="C52" t="s">
        <v>54</v>
      </c>
      <c r="D52" t="s">
        <v>72</v>
      </c>
      <c r="E52" t="s">
        <v>58</v>
      </c>
      <c r="F52" s="2"/>
      <c r="G52">
        <v>0.28109999999999996</v>
      </c>
      <c r="H52">
        <v>156</v>
      </c>
      <c r="I52" s="61">
        <v>0.25</v>
      </c>
      <c r="J52" t="s">
        <v>34</v>
      </c>
      <c r="K52">
        <v>19.564559999999997</v>
      </c>
      <c r="L52">
        <v>1.2368399999999999E-4</v>
      </c>
      <c r="M52" t="s">
        <v>56</v>
      </c>
      <c r="N52" t="s">
        <v>56</v>
      </c>
      <c r="O52" s="2" t="s">
        <v>228</v>
      </c>
      <c r="P52" t="s">
        <v>57</v>
      </c>
      <c r="Q52" s="19" t="str">
        <f>Tableau1[[#This Row],[Voie de transport]]&amp;Tableau1[[#This Row],[Type de chargement]]</f>
        <v>Voie navigable VaConteneur</v>
      </c>
      <c r="R52" s="19" t="str">
        <f>Tableau1[[#This Row],[Voie X Fret]]&amp;Tableau1[[#This Row],[Densité de chargement ]]</f>
        <v>Voie navigable VaConteneurLourd</v>
      </c>
    </row>
    <row r="53" spans="1:18" x14ac:dyDescent="0.3">
      <c r="A53" t="s">
        <v>52</v>
      </c>
      <c r="B53" t="s">
        <v>53</v>
      </c>
      <c r="C53" t="s">
        <v>54</v>
      </c>
      <c r="D53" t="s">
        <v>72</v>
      </c>
      <c r="E53" t="s">
        <v>58</v>
      </c>
      <c r="F53" s="2"/>
      <c r="G53">
        <v>0.28109999999999996</v>
      </c>
      <c r="H53">
        <v>156</v>
      </c>
      <c r="I53" s="61">
        <v>0.25</v>
      </c>
      <c r="J53" t="s">
        <v>35</v>
      </c>
      <c r="K53">
        <v>6.2123099999999996</v>
      </c>
      <c r="L53">
        <v>2.6423399999999996E-2</v>
      </c>
      <c r="M53">
        <v>1.1243999999999998E-3</v>
      </c>
      <c r="N53">
        <v>9.2762999999999995E-3</v>
      </c>
      <c r="O53" s="2" t="s">
        <v>228</v>
      </c>
      <c r="P53" t="s">
        <v>57</v>
      </c>
      <c r="Q53" s="19" t="str">
        <f>Tableau1[[#This Row],[Voie de transport]]&amp;Tableau1[[#This Row],[Type de chargement]]</f>
        <v>Voie navigable VaConteneur</v>
      </c>
      <c r="R53" s="19" t="str">
        <f>Tableau1[[#This Row],[Voie X Fret]]&amp;Tableau1[[#This Row],[Densité de chargement ]]</f>
        <v>Voie navigable VaConteneurLourd</v>
      </c>
    </row>
    <row r="54" spans="1:18" x14ac:dyDescent="0.3">
      <c r="A54" t="s">
        <v>52</v>
      </c>
      <c r="B54" t="s">
        <v>53</v>
      </c>
      <c r="C54" t="s">
        <v>54</v>
      </c>
      <c r="D54" t="s">
        <v>72</v>
      </c>
      <c r="E54" t="s">
        <v>59</v>
      </c>
      <c r="F54" s="2"/>
      <c r="G54">
        <v>0.25589999999999996</v>
      </c>
      <c r="H54">
        <v>192</v>
      </c>
      <c r="I54" s="61">
        <v>0.25</v>
      </c>
      <c r="J54" t="s">
        <v>34</v>
      </c>
      <c r="K54">
        <v>17.810639999999996</v>
      </c>
      <c r="L54">
        <v>1.1259599999999999E-4</v>
      </c>
      <c r="M54" t="s">
        <v>56</v>
      </c>
      <c r="N54" t="s">
        <v>56</v>
      </c>
      <c r="O54" s="2" t="s">
        <v>228</v>
      </c>
      <c r="P54" t="s">
        <v>57</v>
      </c>
      <c r="Q54" s="19" t="str">
        <f>Tableau1[[#This Row],[Voie de transport]]&amp;Tableau1[[#This Row],[Type de chargement]]</f>
        <v>Voie navigable VaConteneur</v>
      </c>
      <c r="R54" s="19" t="str">
        <f>Tableau1[[#This Row],[Voie X Fret]]&amp;Tableau1[[#This Row],[Densité de chargement ]]</f>
        <v>Voie navigable VaConteneurLourd</v>
      </c>
    </row>
    <row r="55" spans="1:18" x14ac:dyDescent="0.3">
      <c r="A55" t="s">
        <v>52</v>
      </c>
      <c r="B55" t="s">
        <v>53</v>
      </c>
      <c r="C55" t="s">
        <v>54</v>
      </c>
      <c r="D55" t="s">
        <v>72</v>
      </c>
      <c r="E55" t="s">
        <v>59</v>
      </c>
      <c r="F55" s="2"/>
      <c r="G55">
        <v>0.25589999999999996</v>
      </c>
      <c r="H55">
        <v>192</v>
      </c>
      <c r="I55" s="61">
        <v>0.25</v>
      </c>
      <c r="J55" t="s">
        <v>35</v>
      </c>
      <c r="K55">
        <v>5.6553899999999997</v>
      </c>
      <c r="L55">
        <v>2.4054599999999995E-2</v>
      </c>
      <c r="M55">
        <v>1.0235999999999999E-3</v>
      </c>
      <c r="N55">
        <v>8.4446999999999994E-3</v>
      </c>
      <c r="O55" s="2" t="s">
        <v>228</v>
      </c>
      <c r="P55" t="s">
        <v>57</v>
      </c>
      <c r="Q55" s="19" t="str">
        <f>Tableau1[[#This Row],[Voie de transport]]&amp;Tableau1[[#This Row],[Type de chargement]]</f>
        <v>Voie navigable VaConteneur</v>
      </c>
      <c r="R55" s="19" t="str">
        <f>Tableau1[[#This Row],[Voie X Fret]]&amp;Tableau1[[#This Row],[Densité de chargement ]]</f>
        <v>Voie navigable VaConteneurLourd</v>
      </c>
    </row>
    <row r="56" spans="1:18" x14ac:dyDescent="0.3">
      <c r="A56" t="s">
        <v>52</v>
      </c>
      <c r="B56" t="s">
        <v>53</v>
      </c>
      <c r="C56" t="s">
        <v>54</v>
      </c>
      <c r="D56" t="s">
        <v>72</v>
      </c>
      <c r="E56" t="s">
        <v>60</v>
      </c>
      <c r="F56" s="2"/>
      <c r="G56">
        <v>0.18869999999999998</v>
      </c>
      <c r="H56">
        <v>288</v>
      </c>
      <c r="I56" s="61">
        <v>0.25</v>
      </c>
      <c r="J56" t="s">
        <v>34</v>
      </c>
      <c r="K56">
        <v>13.133519999999997</v>
      </c>
      <c r="L56">
        <v>8.3027999999999992E-5</v>
      </c>
      <c r="M56" t="s">
        <v>56</v>
      </c>
      <c r="N56" t="s">
        <v>56</v>
      </c>
      <c r="O56" s="2" t="s">
        <v>228</v>
      </c>
      <c r="P56" t="s">
        <v>57</v>
      </c>
      <c r="Q56" s="19" t="str">
        <f>Tableau1[[#This Row],[Voie de transport]]&amp;Tableau1[[#This Row],[Type de chargement]]</f>
        <v>Voie navigable VaConteneur</v>
      </c>
      <c r="R56" s="19" t="str">
        <f>Tableau1[[#This Row],[Voie X Fret]]&amp;Tableau1[[#This Row],[Densité de chargement ]]</f>
        <v>Voie navigable VaConteneurLourd</v>
      </c>
    </row>
    <row r="57" spans="1:18" x14ac:dyDescent="0.3">
      <c r="A57" t="s">
        <v>52</v>
      </c>
      <c r="B57" t="s">
        <v>53</v>
      </c>
      <c r="C57" t="s">
        <v>54</v>
      </c>
      <c r="D57" t="s">
        <v>72</v>
      </c>
      <c r="E57" t="s">
        <v>60</v>
      </c>
      <c r="F57" s="2"/>
      <c r="G57">
        <v>0.18869999999999998</v>
      </c>
      <c r="H57">
        <v>288</v>
      </c>
      <c r="I57" s="61">
        <v>0.25</v>
      </c>
      <c r="J57" t="s">
        <v>35</v>
      </c>
      <c r="K57">
        <v>4.1702699999999995</v>
      </c>
      <c r="L57">
        <v>1.7737799999999998E-2</v>
      </c>
      <c r="M57">
        <v>7.5479999999999992E-4</v>
      </c>
      <c r="N57">
        <v>6.2270999999999993E-3</v>
      </c>
      <c r="O57" s="2" t="s">
        <v>228</v>
      </c>
      <c r="P57" t="s">
        <v>57</v>
      </c>
      <c r="Q57" s="19" t="str">
        <f>Tableau1[[#This Row],[Voie de transport]]&amp;Tableau1[[#This Row],[Type de chargement]]</f>
        <v>Voie navigable VaConteneur</v>
      </c>
      <c r="R57" s="19" t="str">
        <f>Tableau1[[#This Row],[Voie X Fret]]&amp;Tableau1[[#This Row],[Densité de chargement ]]</f>
        <v>Voie navigable VaConteneurLourd</v>
      </c>
    </row>
    <row r="58" spans="1:18" x14ac:dyDescent="0.3">
      <c r="A58" t="s">
        <v>52</v>
      </c>
      <c r="B58" t="s">
        <v>53</v>
      </c>
      <c r="C58" t="s">
        <v>54</v>
      </c>
      <c r="D58" t="s">
        <v>72</v>
      </c>
      <c r="E58" t="s">
        <v>61</v>
      </c>
      <c r="F58" s="2"/>
      <c r="G58">
        <v>0.35249999999999998</v>
      </c>
      <c r="H58">
        <v>54</v>
      </c>
      <c r="I58" s="61">
        <v>0.25</v>
      </c>
      <c r="J58" t="s">
        <v>34</v>
      </c>
      <c r="K58">
        <v>24.533999999999995</v>
      </c>
      <c r="L58">
        <v>1.551E-4</v>
      </c>
      <c r="M58" t="s">
        <v>56</v>
      </c>
      <c r="N58" t="s">
        <v>56</v>
      </c>
      <c r="O58" s="2" t="s">
        <v>228</v>
      </c>
      <c r="P58" t="s">
        <v>57</v>
      </c>
      <c r="Q58" s="19" t="str">
        <f>Tableau1[[#This Row],[Voie de transport]]&amp;Tableau1[[#This Row],[Type de chargement]]</f>
        <v>Voie navigable VaConteneur</v>
      </c>
      <c r="R58" s="19" t="str">
        <f>Tableau1[[#This Row],[Voie X Fret]]&amp;Tableau1[[#This Row],[Densité de chargement ]]</f>
        <v>Voie navigable VaConteneurLourd</v>
      </c>
    </row>
    <row r="59" spans="1:18" x14ac:dyDescent="0.3">
      <c r="A59" t="s">
        <v>52</v>
      </c>
      <c r="B59" t="s">
        <v>53</v>
      </c>
      <c r="C59" t="s">
        <v>54</v>
      </c>
      <c r="D59" t="s">
        <v>72</v>
      </c>
      <c r="E59" t="s">
        <v>61</v>
      </c>
      <c r="F59" s="2"/>
      <c r="G59">
        <v>0.35249999999999998</v>
      </c>
      <c r="H59">
        <v>54</v>
      </c>
      <c r="I59" s="61">
        <v>0.25</v>
      </c>
      <c r="J59" t="s">
        <v>35</v>
      </c>
      <c r="K59">
        <v>7.7902500000000003</v>
      </c>
      <c r="L59">
        <v>3.3134999999999998E-2</v>
      </c>
      <c r="M59">
        <v>1.41E-3</v>
      </c>
      <c r="N59">
        <v>1.16325E-2</v>
      </c>
      <c r="O59" s="2" t="s">
        <v>228</v>
      </c>
      <c r="P59" t="s">
        <v>57</v>
      </c>
      <c r="Q59" s="19" t="str">
        <f>Tableau1[[#This Row],[Voie de transport]]&amp;Tableau1[[#This Row],[Type de chargement]]</f>
        <v>Voie navigable VaConteneur</v>
      </c>
      <c r="R59" s="19" t="str">
        <f>Tableau1[[#This Row],[Voie X Fret]]&amp;Tableau1[[#This Row],[Densité de chargement ]]</f>
        <v>Voie navigable VaConteneurLourd</v>
      </c>
    </row>
    <row r="60" spans="1:18" x14ac:dyDescent="0.3">
      <c r="A60" t="s">
        <v>52</v>
      </c>
      <c r="B60" t="s">
        <v>62</v>
      </c>
      <c r="C60" t="s">
        <v>54</v>
      </c>
      <c r="D60" t="s">
        <v>72</v>
      </c>
      <c r="E60" t="s">
        <v>55</v>
      </c>
      <c r="F60" s="2"/>
      <c r="G60">
        <v>0.40176000000000001</v>
      </c>
      <c r="H60">
        <v>104</v>
      </c>
      <c r="I60" s="61">
        <v>0.25</v>
      </c>
      <c r="J60" t="s">
        <v>34</v>
      </c>
      <c r="K60">
        <v>27.962495999999998</v>
      </c>
      <c r="L60">
        <v>1.7677440000000001E-4</v>
      </c>
      <c r="M60" t="s">
        <v>56</v>
      </c>
      <c r="N60" t="s">
        <v>56</v>
      </c>
      <c r="O60" s="2" t="s">
        <v>228</v>
      </c>
      <c r="P60" t="s">
        <v>57</v>
      </c>
      <c r="Q60" s="19" t="str">
        <f>Tableau1[[#This Row],[Voie de transport]]&amp;Tableau1[[#This Row],[Type de chargement]]</f>
        <v>Voie navigable VIbConteneur</v>
      </c>
      <c r="R60" s="19" t="str">
        <f>Tableau1[[#This Row],[Voie X Fret]]&amp;Tableau1[[#This Row],[Densité de chargement ]]</f>
        <v>Voie navigable VIbConteneurLourd</v>
      </c>
    </row>
    <row r="61" spans="1:18" x14ac:dyDescent="0.3">
      <c r="A61" t="s">
        <v>52</v>
      </c>
      <c r="B61" t="s">
        <v>62</v>
      </c>
      <c r="C61" t="s">
        <v>54</v>
      </c>
      <c r="D61" t="s">
        <v>72</v>
      </c>
      <c r="E61" t="s">
        <v>55</v>
      </c>
      <c r="F61" s="2"/>
      <c r="G61">
        <v>0.40176000000000001</v>
      </c>
      <c r="H61">
        <v>104</v>
      </c>
      <c r="I61" s="61">
        <v>0.25</v>
      </c>
      <c r="J61" t="s">
        <v>35</v>
      </c>
      <c r="K61">
        <v>8.878896000000001</v>
      </c>
      <c r="L61">
        <v>3.7765439999999997E-2</v>
      </c>
      <c r="M61">
        <v>1.6070400000000001E-3</v>
      </c>
      <c r="N61">
        <v>1.325808E-2</v>
      </c>
      <c r="O61" s="2" t="s">
        <v>228</v>
      </c>
      <c r="P61" t="s">
        <v>57</v>
      </c>
      <c r="Q61" s="19" t="str">
        <f>Tableau1[[#This Row],[Voie de transport]]&amp;Tableau1[[#This Row],[Type de chargement]]</f>
        <v>Voie navigable VIbConteneur</v>
      </c>
      <c r="R61" s="19" t="str">
        <f>Tableau1[[#This Row],[Voie X Fret]]&amp;Tableau1[[#This Row],[Densité de chargement ]]</f>
        <v>Voie navigable VIbConteneurLourd</v>
      </c>
    </row>
    <row r="62" spans="1:18" x14ac:dyDescent="0.3">
      <c r="A62" t="s">
        <v>52</v>
      </c>
      <c r="B62" t="s">
        <v>62</v>
      </c>
      <c r="C62" t="s">
        <v>54</v>
      </c>
      <c r="D62" t="s">
        <v>72</v>
      </c>
      <c r="E62" t="s">
        <v>58</v>
      </c>
      <c r="F62" s="2"/>
      <c r="G62">
        <v>0.37264000000000003</v>
      </c>
      <c r="H62">
        <v>156</v>
      </c>
      <c r="I62" s="61">
        <v>0.25</v>
      </c>
      <c r="J62" t="s">
        <v>34</v>
      </c>
      <c r="K62">
        <v>25.935744</v>
      </c>
      <c r="L62">
        <v>1.6396160000000003E-4</v>
      </c>
      <c r="M62" t="s">
        <v>56</v>
      </c>
      <c r="N62" t="s">
        <v>56</v>
      </c>
      <c r="O62" s="2" t="s">
        <v>228</v>
      </c>
      <c r="P62" t="s">
        <v>57</v>
      </c>
      <c r="Q62" s="19" t="str">
        <f>Tableau1[[#This Row],[Voie de transport]]&amp;Tableau1[[#This Row],[Type de chargement]]</f>
        <v>Voie navigable VIbConteneur</v>
      </c>
      <c r="R62" s="19" t="str">
        <f>Tableau1[[#This Row],[Voie X Fret]]&amp;Tableau1[[#This Row],[Densité de chargement ]]</f>
        <v>Voie navigable VIbConteneurLourd</v>
      </c>
    </row>
    <row r="63" spans="1:18" x14ac:dyDescent="0.3">
      <c r="A63" t="s">
        <v>52</v>
      </c>
      <c r="B63" t="s">
        <v>62</v>
      </c>
      <c r="C63" t="s">
        <v>54</v>
      </c>
      <c r="D63" t="s">
        <v>72</v>
      </c>
      <c r="E63" t="s">
        <v>58</v>
      </c>
      <c r="F63" s="2"/>
      <c r="G63">
        <v>0.37264000000000003</v>
      </c>
      <c r="H63">
        <v>156</v>
      </c>
      <c r="I63" s="61">
        <v>0.25</v>
      </c>
      <c r="J63" t="s">
        <v>35</v>
      </c>
      <c r="K63">
        <v>8.2353440000000013</v>
      </c>
      <c r="L63">
        <v>3.5028160000000003E-2</v>
      </c>
      <c r="M63">
        <v>1.4905600000000001E-3</v>
      </c>
      <c r="N63">
        <v>1.2297120000000002E-2</v>
      </c>
      <c r="O63" s="2" t="s">
        <v>228</v>
      </c>
      <c r="P63" t="s">
        <v>57</v>
      </c>
      <c r="Q63" s="19" t="str">
        <f>Tableau1[[#This Row],[Voie de transport]]&amp;Tableau1[[#This Row],[Type de chargement]]</f>
        <v>Voie navigable VIbConteneur</v>
      </c>
      <c r="R63" s="19" t="str">
        <f>Tableau1[[#This Row],[Voie X Fret]]&amp;Tableau1[[#This Row],[Densité de chargement ]]</f>
        <v>Voie navigable VIbConteneurLourd</v>
      </c>
    </row>
    <row r="64" spans="1:18" x14ac:dyDescent="0.3">
      <c r="A64" t="s">
        <v>52</v>
      </c>
      <c r="B64" t="s">
        <v>62</v>
      </c>
      <c r="C64" t="s">
        <v>54</v>
      </c>
      <c r="D64" t="s">
        <v>72</v>
      </c>
      <c r="E64" t="s">
        <v>59</v>
      </c>
      <c r="F64" s="2"/>
      <c r="G64">
        <v>0.35248000000000002</v>
      </c>
      <c r="H64">
        <v>192</v>
      </c>
      <c r="I64" s="61">
        <v>0.25</v>
      </c>
      <c r="J64" t="s">
        <v>34</v>
      </c>
      <c r="K64">
        <v>24.532608</v>
      </c>
      <c r="L64">
        <v>1.5509120000000001E-4</v>
      </c>
      <c r="M64" t="s">
        <v>56</v>
      </c>
      <c r="N64" t="s">
        <v>56</v>
      </c>
      <c r="O64" s="2" t="s">
        <v>228</v>
      </c>
      <c r="P64" t="s">
        <v>57</v>
      </c>
      <c r="Q64" s="19" t="str">
        <f>Tableau1[[#This Row],[Voie de transport]]&amp;Tableau1[[#This Row],[Type de chargement]]</f>
        <v>Voie navigable VIbConteneur</v>
      </c>
      <c r="R64" s="19" t="str">
        <f>Tableau1[[#This Row],[Voie X Fret]]&amp;Tableau1[[#This Row],[Densité de chargement ]]</f>
        <v>Voie navigable VIbConteneurLourd</v>
      </c>
    </row>
    <row r="65" spans="1:18" x14ac:dyDescent="0.3">
      <c r="A65" t="s">
        <v>52</v>
      </c>
      <c r="B65" t="s">
        <v>62</v>
      </c>
      <c r="C65" t="s">
        <v>54</v>
      </c>
      <c r="D65" t="s">
        <v>72</v>
      </c>
      <c r="E65" t="s">
        <v>59</v>
      </c>
      <c r="F65" s="2"/>
      <c r="G65">
        <v>0.35248000000000002</v>
      </c>
      <c r="H65">
        <v>192</v>
      </c>
      <c r="I65" s="61">
        <v>0.25</v>
      </c>
      <c r="J65" t="s">
        <v>35</v>
      </c>
      <c r="K65">
        <v>7.7898080000000007</v>
      </c>
      <c r="L65">
        <v>3.3133120000000002E-2</v>
      </c>
      <c r="M65">
        <v>1.4099200000000001E-3</v>
      </c>
      <c r="N65">
        <v>1.1631840000000001E-2</v>
      </c>
      <c r="O65" s="2" t="s">
        <v>228</v>
      </c>
      <c r="P65" t="s">
        <v>57</v>
      </c>
      <c r="Q65" s="19" t="str">
        <f>Tableau1[[#This Row],[Voie de transport]]&amp;Tableau1[[#This Row],[Type de chargement]]</f>
        <v>Voie navigable VIbConteneur</v>
      </c>
      <c r="R65" s="19" t="str">
        <f>Tableau1[[#This Row],[Voie X Fret]]&amp;Tableau1[[#This Row],[Densité de chargement ]]</f>
        <v>Voie navigable VIbConteneurLourd</v>
      </c>
    </row>
    <row r="66" spans="1:18" x14ac:dyDescent="0.3">
      <c r="A66" t="s">
        <v>52</v>
      </c>
      <c r="B66" t="s">
        <v>62</v>
      </c>
      <c r="C66" t="s">
        <v>54</v>
      </c>
      <c r="D66" t="s">
        <v>72</v>
      </c>
      <c r="E66" t="s">
        <v>60</v>
      </c>
      <c r="F66" s="2"/>
      <c r="G66">
        <v>0.29871999999999999</v>
      </c>
      <c r="H66">
        <v>288</v>
      </c>
      <c r="I66" s="61">
        <v>0.25</v>
      </c>
      <c r="J66" t="s">
        <v>34</v>
      </c>
      <c r="K66">
        <v>20.790911999999999</v>
      </c>
      <c r="L66">
        <v>1.3143679999999999E-4</v>
      </c>
      <c r="M66" t="s">
        <v>56</v>
      </c>
      <c r="N66" t="s">
        <v>56</v>
      </c>
      <c r="O66" s="2" t="s">
        <v>228</v>
      </c>
      <c r="P66" t="s">
        <v>57</v>
      </c>
      <c r="Q66" s="19" t="str">
        <f>Tableau1[[#This Row],[Voie de transport]]&amp;Tableau1[[#This Row],[Type de chargement]]</f>
        <v>Voie navigable VIbConteneur</v>
      </c>
      <c r="R66" s="19" t="str">
        <f>Tableau1[[#This Row],[Voie X Fret]]&amp;Tableau1[[#This Row],[Densité de chargement ]]</f>
        <v>Voie navigable VIbConteneurLourd</v>
      </c>
    </row>
    <row r="67" spans="1:18" x14ac:dyDescent="0.3">
      <c r="A67" t="s">
        <v>52</v>
      </c>
      <c r="B67" t="s">
        <v>62</v>
      </c>
      <c r="C67" t="s">
        <v>54</v>
      </c>
      <c r="D67" t="s">
        <v>72</v>
      </c>
      <c r="E67" t="s">
        <v>60</v>
      </c>
      <c r="F67" s="2"/>
      <c r="G67">
        <v>0.29871999999999999</v>
      </c>
      <c r="H67">
        <v>288</v>
      </c>
      <c r="I67" s="61">
        <v>0.25</v>
      </c>
      <c r="J67" t="s">
        <v>35</v>
      </c>
      <c r="K67">
        <v>6.601712</v>
      </c>
      <c r="L67">
        <v>2.8079679999999999E-2</v>
      </c>
      <c r="M67">
        <v>1.1948799999999999E-3</v>
      </c>
      <c r="N67">
        <v>9.8577600000000001E-3</v>
      </c>
      <c r="O67" s="2" t="s">
        <v>228</v>
      </c>
      <c r="P67" t="s">
        <v>57</v>
      </c>
      <c r="Q67" s="19" t="str">
        <f>Tableau1[[#This Row],[Voie de transport]]&amp;Tableau1[[#This Row],[Type de chargement]]</f>
        <v>Voie navigable VIbConteneur</v>
      </c>
      <c r="R67" s="19" t="str">
        <f>Tableau1[[#This Row],[Voie X Fret]]&amp;Tableau1[[#This Row],[Densité de chargement ]]</f>
        <v>Voie navigable VIbConteneurLourd</v>
      </c>
    </row>
    <row r="68" spans="1:18" x14ac:dyDescent="0.3">
      <c r="A68" t="s">
        <v>52</v>
      </c>
      <c r="B68" t="s">
        <v>62</v>
      </c>
      <c r="C68" t="s">
        <v>54</v>
      </c>
      <c r="D68" t="s">
        <v>72</v>
      </c>
      <c r="E68" t="s">
        <v>61</v>
      </c>
      <c r="F68" s="2"/>
      <c r="G68">
        <v>0.42976000000000003</v>
      </c>
      <c r="H68">
        <v>54</v>
      </c>
      <c r="I68" s="61">
        <v>0.25</v>
      </c>
      <c r="J68" t="s">
        <v>34</v>
      </c>
      <c r="K68">
        <v>29.911296</v>
      </c>
      <c r="L68">
        <v>1.8909440000000003E-4</v>
      </c>
      <c r="M68" t="s">
        <v>56</v>
      </c>
      <c r="N68" t="s">
        <v>56</v>
      </c>
      <c r="O68" s="2" t="s">
        <v>228</v>
      </c>
      <c r="P68" t="s">
        <v>57</v>
      </c>
      <c r="Q68" s="19" t="str">
        <f>Tableau1[[#This Row],[Voie de transport]]&amp;Tableau1[[#This Row],[Type de chargement]]</f>
        <v>Voie navigable VIbConteneur</v>
      </c>
      <c r="R68" s="19" t="str">
        <f>Tableau1[[#This Row],[Voie X Fret]]&amp;Tableau1[[#This Row],[Densité de chargement ]]</f>
        <v>Voie navigable VIbConteneurLourd</v>
      </c>
    </row>
    <row r="69" spans="1:18" x14ac:dyDescent="0.3">
      <c r="A69" t="s">
        <v>52</v>
      </c>
      <c r="B69" t="s">
        <v>62</v>
      </c>
      <c r="C69" t="s">
        <v>54</v>
      </c>
      <c r="D69" t="s">
        <v>72</v>
      </c>
      <c r="E69" t="s">
        <v>61</v>
      </c>
      <c r="F69" s="2"/>
      <c r="G69">
        <v>0.42976000000000003</v>
      </c>
      <c r="H69">
        <v>54</v>
      </c>
      <c r="I69" s="61">
        <v>0.25</v>
      </c>
      <c r="J69" t="s">
        <v>35</v>
      </c>
      <c r="K69">
        <v>9.4976960000000012</v>
      </c>
      <c r="L69">
        <v>4.039744E-2</v>
      </c>
      <c r="M69">
        <v>1.7190400000000002E-3</v>
      </c>
      <c r="N69">
        <v>1.4182080000000001E-2</v>
      </c>
      <c r="O69" s="2" t="s">
        <v>228</v>
      </c>
      <c r="P69" t="s">
        <v>57</v>
      </c>
      <c r="Q69" s="19" t="str">
        <f>Tableau1[[#This Row],[Voie de transport]]&amp;Tableau1[[#This Row],[Type de chargement]]</f>
        <v>Voie navigable VIbConteneur</v>
      </c>
      <c r="R69" s="19" t="str">
        <f>Tableau1[[#This Row],[Voie X Fret]]&amp;Tableau1[[#This Row],[Densité de chargement ]]</f>
        <v>Voie navigable VIbConteneurLourd</v>
      </c>
    </row>
    <row r="70" spans="1:18" x14ac:dyDescent="0.3">
      <c r="A70" t="s">
        <v>52</v>
      </c>
      <c r="B70" t="s">
        <v>53</v>
      </c>
      <c r="C70" t="s">
        <v>54</v>
      </c>
      <c r="D70" t="s">
        <v>63</v>
      </c>
      <c r="E70" t="s">
        <v>55</v>
      </c>
      <c r="G70">
        <v>0.52369999999999994</v>
      </c>
      <c r="H70">
        <v>104</v>
      </c>
      <c r="I70" s="61">
        <v>0.25</v>
      </c>
      <c r="J70" t="s">
        <v>34</v>
      </c>
      <c r="K70">
        <v>36.449519999999993</v>
      </c>
      <c r="L70">
        <v>2.30428E-4</v>
      </c>
      <c r="M70" t="s">
        <v>56</v>
      </c>
      <c r="N70" t="s">
        <v>56</v>
      </c>
      <c r="O70" s="2" t="s">
        <v>228</v>
      </c>
      <c r="P70" t="s">
        <v>57</v>
      </c>
      <c r="Q70" s="19" t="str">
        <f>Tableau1[[#This Row],[Voie de transport]]&amp;Tableau1[[#This Row],[Type de chargement]]</f>
        <v>Voie navigable VaConteneur</v>
      </c>
      <c r="R70" s="19" t="str">
        <f>Tableau1[[#This Row],[Voie X Fret]]&amp;Tableau1[[#This Row],[Densité de chargement ]]</f>
        <v>Voie navigable VaConteneurLéger</v>
      </c>
    </row>
    <row r="71" spans="1:18" x14ac:dyDescent="0.3">
      <c r="A71" t="s">
        <v>52</v>
      </c>
      <c r="B71" t="s">
        <v>53</v>
      </c>
      <c r="C71" t="s">
        <v>54</v>
      </c>
      <c r="D71" t="s">
        <v>63</v>
      </c>
      <c r="E71" t="s">
        <v>55</v>
      </c>
      <c r="G71">
        <v>0.52369999999999994</v>
      </c>
      <c r="H71">
        <v>104</v>
      </c>
      <c r="I71" s="61">
        <v>0.25</v>
      </c>
      <c r="J71" t="s">
        <v>35</v>
      </c>
      <c r="K71">
        <v>11.57377</v>
      </c>
      <c r="L71">
        <v>4.9227799999999995E-2</v>
      </c>
      <c r="M71">
        <v>2.0948E-3</v>
      </c>
      <c r="N71">
        <v>1.7282099999999998E-2</v>
      </c>
      <c r="O71" s="2" t="s">
        <v>228</v>
      </c>
      <c r="P71" t="s">
        <v>57</v>
      </c>
      <c r="Q71" s="19" t="str">
        <f>Tableau1[[#This Row],[Voie de transport]]&amp;Tableau1[[#This Row],[Type de chargement]]</f>
        <v>Voie navigable VaConteneur</v>
      </c>
      <c r="R71" s="19" t="str">
        <f>Tableau1[[#This Row],[Voie X Fret]]&amp;Tableau1[[#This Row],[Densité de chargement ]]</f>
        <v>Voie navigable VaConteneurLéger</v>
      </c>
    </row>
    <row r="72" spans="1:18" x14ac:dyDescent="0.3">
      <c r="A72" t="s">
        <v>52</v>
      </c>
      <c r="B72" t="s">
        <v>53</v>
      </c>
      <c r="C72" t="s">
        <v>54</v>
      </c>
      <c r="D72" t="s">
        <v>63</v>
      </c>
      <c r="E72" t="s">
        <v>58</v>
      </c>
      <c r="G72">
        <v>0.46129999999999993</v>
      </c>
      <c r="H72">
        <v>156</v>
      </c>
      <c r="I72" s="61">
        <v>0.25</v>
      </c>
      <c r="J72" t="s">
        <v>34</v>
      </c>
      <c r="K72">
        <v>32.106479999999991</v>
      </c>
      <c r="L72">
        <v>2.0297199999999997E-4</v>
      </c>
      <c r="M72" t="s">
        <v>56</v>
      </c>
      <c r="N72" t="s">
        <v>56</v>
      </c>
      <c r="O72" s="2" t="s">
        <v>228</v>
      </c>
      <c r="P72" t="s">
        <v>57</v>
      </c>
      <c r="Q72" s="19" t="str">
        <f>Tableau1[[#This Row],[Voie de transport]]&amp;Tableau1[[#This Row],[Type de chargement]]</f>
        <v>Voie navigable VaConteneur</v>
      </c>
      <c r="R72" s="19" t="str">
        <f>Tableau1[[#This Row],[Voie X Fret]]&amp;Tableau1[[#This Row],[Densité de chargement ]]</f>
        <v>Voie navigable VaConteneurLéger</v>
      </c>
    </row>
    <row r="73" spans="1:18" x14ac:dyDescent="0.3">
      <c r="A73" t="s">
        <v>52</v>
      </c>
      <c r="B73" t="s">
        <v>53</v>
      </c>
      <c r="C73" t="s">
        <v>54</v>
      </c>
      <c r="D73" t="s">
        <v>63</v>
      </c>
      <c r="E73" t="s">
        <v>58</v>
      </c>
      <c r="G73">
        <v>0.46129999999999993</v>
      </c>
      <c r="H73">
        <v>156</v>
      </c>
      <c r="I73" s="61">
        <v>0.25</v>
      </c>
      <c r="J73" t="s">
        <v>35</v>
      </c>
      <c r="K73">
        <v>10.19473</v>
      </c>
      <c r="L73">
        <v>4.3362199999999997E-2</v>
      </c>
      <c r="M73">
        <v>1.8451999999999997E-3</v>
      </c>
      <c r="N73">
        <v>1.5222899999999999E-2</v>
      </c>
      <c r="O73" s="2" t="s">
        <v>228</v>
      </c>
      <c r="P73" t="s">
        <v>57</v>
      </c>
      <c r="Q73" s="19" t="str">
        <f>Tableau1[[#This Row],[Voie de transport]]&amp;Tableau1[[#This Row],[Type de chargement]]</f>
        <v>Voie navigable VaConteneur</v>
      </c>
      <c r="R73" s="19" t="str">
        <f>Tableau1[[#This Row],[Voie X Fret]]&amp;Tableau1[[#This Row],[Densité de chargement ]]</f>
        <v>Voie navigable VaConteneurLéger</v>
      </c>
    </row>
    <row r="74" spans="1:18" x14ac:dyDescent="0.3">
      <c r="A74" t="s">
        <v>52</v>
      </c>
      <c r="B74" t="s">
        <v>53</v>
      </c>
      <c r="C74" t="s">
        <v>54</v>
      </c>
      <c r="D74" t="s">
        <v>63</v>
      </c>
      <c r="E74" t="s">
        <v>59</v>
      </c>
      <c r="G74">
        <v>0.41809999999999992</v>
      </c>
      <c r="H74">
        <v>192</v>
      </c>
      <c r="I74" s="61">
        <v>0.25</v>
      </c>
      <c r="J74" t="s">
        <v>34</v>
      </c>
      <c r="K74">
        <v>29.099759999999993</v>
      </c>
      <c r="L74">
        <v>1.8396399999999998E-4</v>
      </c>
      <c r="M74" t="s">
        <v>56</v>
      </c>
      <c r="N74" t="s">
        <v>56</v>
      </c>
      <c r="O74" s="2" t="s">
        <v>228</v>
      </c>
      <c r="P74" t="s">
        <v>57</v>
      </c>
      <c r="Q74" s="19" t="str">
        <f>Tableau1[[#This Row],[Voie de transport]]&amp;Tableau1[[#This Row],[Type de chargement]]</f>
        <v>Voie navigable VaConteneur</v>
      </c>
      <c r="R74" s="19" t="str">
        <f>Tableau1[[#This Row],[Voie X Fret]]&amp;Tableau1[[#This Row],[Densité de chargement ]]</f>
        <v>Voie navigable VaConteneurLéger</v>
      </c>
    </row>
    <row r="75" spans="1:18" x14ac:dyDescent="0.3">
      <c r="A75" t="s">
        <v>52</v>
      </c>
      <c r="B75" t="s">
        <v>53</v>
      </c>
      <c r="C75" t="s">
        <v>54</v>
      </c>
      <c r="D75" t="s">
        <v>63</v>
      </c>
      <c r="E75" t="s">
        <v>59</v>
      </c>
      <c r="G75">
        <v>0.41809999999999992</v>
      </c>
      <c r="H75">
        <v>192</v>
      </c>
      <c r="I75" s="61">
        <v>0.25</v>
      </c>
      <c r="J75" t="s">
        <v>35</v>
      </c>
      <c r="K75">
        <v>9.2400099999999981</v>
      </c>
      <c r="L75">
        <v>3.9301399999999993E-2</v>
      </c>
      <c r="M75">
        <v>1.6723999999999997E-3</v>
      </c>
      <c r="N75">
        <v>1.3797299999999998E-2</v>
      </c>
      <c r="O75" s="2" t="s">
        <v>228</v>
      </c>
      <c r="P75" t="s">
        <v>57</v>
      </c>
      <c r="Q75" s="19" t="str">
        <f>Tableau1[[#This Row],[Voie de transport]]&amp;Tableau1[[#This Row],[Type de chargement]]</f>
        <v>Voie navigable VaConteneur</v>
      </c>
      <c r="R75" s="19" t="str">
        <f>Tableau1[[#This Row],[Voie X Fret]]&amp;Tableau1[[#This Row],[Densité de chargement ]]</f>
        <v>Voie navigable VaConteneurLéger</v>
      </c>
    </row>
    <row r="76" spans="1:18" x14ac:dyDescent="0.3">
      <c r="A76" t="s">
        <v>52</v>
      </c>
      <c r="B76" t="s">
        <v>53</v>
      </c>
      <c r="C76" t="s">
        <v>54</v>
      </c>
      <c r="D76" t="s">
        <v>63</v>
      </c>
      <c r="E76" t="s">
        <v>60</v>
      </c>
      <c r="G76">
        <v>0.30289999999999995</v>
      </c>
      <c r="H76">
        <v>288</v>
      </c>
      <c r="I76" s="61">
        <v>0.25</v>
      </c>
      <c r="J76" t="s">
        <v>34</v>
      </c>
      <c r="K76">
        <v>21.081839999999996</v>
      </c>
      <c r="L76">
        <v>1.3327599999999999E-4</v>
      </c>
      <c r="M76" t="s">
        <v>56</v>
      </c>
      <c r="N76" t="s">
        <v>56</v>
      </c>
      <c r="O76" s="2" t="s">
        <v>228</v>
      </c>
      <c r="P76" t="s">
        <v>57</v>
      </c>
      <c r="Q76" s="19" t="str">
        <f>Tableau1[[#This Row],[Voie de transport]]&amp;Tableau1[[#This Row],[Type de chargement]]</f>
        <v>Voie navigable VaConteneur</v>
      </c>
      <c r="R76" s="19" t="str">
        <f>Tableau1[[#This Row],[Voie X Fret]]&amp;Tableau1[[#This Row],[Densité de chargement ]]</f>
        <v>Voie navigable VaConteneurLéger</v>
      </c>
    </row>
    <row r="77" spans="1:18" x14ac:dyDescent="0.3">
      <c r="A77" t="s">
        <v>52</v>
      </c>
      <c r="B77" t="s">
        <v>53</v>
      </c>
      <c r="C77" t="s">
        <v>54</v>
      </c>
      <c r="D77" t="s">
        <v>63</v>
      </c>
      <c r="E77" t="s">
        <v>60</v>
      </c>
      <c r="G77">
        <v>0.30289999999999995</v>
      </c>
      <c r="H77">
        <v>288</v>
      </c>
      <c r="I77" s="61">
        <v>0.25</v>
      </c>
      <c r="J77" t="s">
        <v>35</v>
      </c>
      <c r="K77">
        <v>6.6940899999999992</v>
      </c>
      <c r="L77">
        <v>2.8472599999999994E-2</v>
      </c>
      <c r="M77">
        <v>1.2115999999999997E-3</v>
      </c>
      <c r="N77">
        <v>9.995699999999998E-3</v>
      </c>
      <c r="O77" s="2" t="s">
        <v>228</v>
      </c>
      <c r="P77" t="s">
        <v>57</v>
      </c>
      <c r="Q77" s="19" t="str">
        <f>Tableau1[[#This Row],[Voie de transport]]&amp;Tableau1[[#This Row],[Type de chargement]]</f>
        <v>Voie navigable VaConteneur</v>
      </c>
      <c r="R77" s="19" t="str">
        <f>Tableau1[[#This Row],[Voie X Fret]]&amp;Tableau1[[#This Row],[Densité de chargement ]]</f>
        <v>Voie navigable VaConteneurLéger</v>
      </c>
    </row>
    <row r="78" spans="1:18" x14ac:dyDescent="0.3">
      <c r="A78" t="s">
        <v>52</v>
      </c>
      <c r="B78" t="s">
        <v>53</v>
      </c>
      <c r="C78" t="s">
        <v>54</v>
      </c>
      <c r="D78" t="s">
        <v>63</v>
      </c>
      <c r="E78" t="s">
        <v>61</v>
      </c>
      <c r="G78">
        <v>0.5837</v>
      </c>
      <c r="H78">
        <v>54</v>
      </c>
      <c r="I78" s="61">
        <v>0.25</v>
      </c>
      <c r="J78" t="s">
        <v>34</v>
      </c>
      <c r="K78">
        <v>40.625519999999995</v>
      </c>
      <c r="L78">
        <v>2.5682800000000002E-4</v>
      </c>
      <c r="M78" t="s">
        <v>56</v>
      </c>
      <c r="N78" t="s">
        <v>56</v>
      </c>
      <c r="O78" s="2" t="s">
        <v>228</v>
      </c>
      <c r="P78" t="s">
        <v>57</v>
      </c>
      <c r="Q78" s="19" t="str">
        <f>Tableau1[[#This Row],[Voie de transport]]&amp;Tableau1[[#This Row],[Type de chargement]]</f>
        <v>Voie navigable VaConteneur</v>
      </c>
      <c r="R78" s="19" t="str">
        <f>Tableau1[[#This Row],[Voie X Fret]]&amp;Tableau1[[#This Row],[Densité de chargement ]]</f>
        <v>Voie navigable VaConteneurLéger</v>
      </c>
    </row>
    <row r="79" spans="1:18" x14ac:dyDescent="0.3">
      <c r="A79" t="s">
        <v>52</v>
      </c>
      <c r="B79" t="s">
        <v>53</v>
      </c>
      <c r="C79" t="s">
        <v>54</v>
      </c>
      <c r="D79" t="s">
        <v>63</v>
      </c>
      <c r="E79" t="s">
        <v>61</v>
      </c>
      <c r="G79">
        <v>0.5837</v>
      </c>
      <c r="H79">
        <v>54</v>
      </c>
      <c r="I79" s="61">
        <v>0.25</v>
      </c>
      <c r="J79" t="s">
        <v>35</v>
      </c>
      <c r="K79">
        <v>12.89977</v>
      </c>
      <c r="L79">
        <v>5.4867800000000001E-2</v>
      </c>
      <c r="M79">
        <v>2.3348000000000002E-3</v>
      </c>
      <c r="N79">
        <v>1.9262100000000001E-2</v>
      </c>
      <c r="O79" s="2" t="s">
        <v>228</v>
      </c>
      <c r="P79" t="s">
        <v>57</v>
      </c>
      <c r="Q79" s="19" t="str">
        <f>Tableau1[[#This Row],[Voie de transport]]&amp;Tableau1[[#This Row],[Type de chargement]]</f>
        <v>Voie navigable VaConteneur</v>
      </c>
      <c r="R79" s="19" t="str">
        <f>Tableau1[[#This Row],[Voie X Fret]]&amp;Tableau1[[#This Row],[Densité de chargement ]]</f>
        <v>Voie navigable VaConteneurLéger</v>
      </c>
    </row>
    <row r="80" spans="1:18" x14ac:dyDescent="0.3">
      <c r="A80" t="s">
        <v>52</v>
      </c>
      <c r="B80" t="s">
        <v>62</v>
      </c>
      <c r="C80" t="s">
        <v>54</v>
      </c>
      <c r="D80" t="s">
        <v>63</v>
      </c>
      <c r="E80" t="s">
        <v>55</v>
      </c>
      <c r="G80">
        <v>0.6966</v>
      </c>
      <c r="H80">
        <v>104</v>
      </c>
      <c r="I80" s="61">
        <v>0.25</v>
      </c>
      <c r="J80" t="s">
        <v>34</v>
      </c>
      <c r="K80">
        <v>48.483359999999998</v>
      </c>
      <c r="L80">
        <v>3.0650400000000003E-4</v>
      </c>
      <c r="M80" t="s">
        <v>56</v>
      </c>
      <c r="N80" t="s">
        <v>56</v>
      </c>
      <c r="O80" s="2" t="s">
        <v>228</v>
      </c>
      <c r="P80" t="s">
        <v>57</v>
      </c>
      <c r="Q80" s="19" t="str">
        <f>Tableau1[[#This Row],[Voie de transport]]&amp;Tableau1[[#This Row],[Type de chargement]]</f>
        <v>Voie navigable VIbConteneur</v>
      </c>
      <c r="R80" s="19" t="str">
        <f>Tableau1[[#This Row],[Voie X Fret]]&amp;Tableau1[[#This Row],[Densité de chargement ]]</f>
        <v>Voie navigable VIbConteneurLéger</v>
      </c>
    </row>
    <row r="81" spans="1:18" x14ac:dyDescent="0.3">
      <c r="A81" t="s">
        <v>52</v>
      </c>
      <c r="B81" t="s">
        <v>62</v>
      </c>
      <c r="C81" t="s">
        <v>54</v>
      </c>
      <c r="D81" t="s">
        <v>63</v>
      </c>
      <c r="E81" t="s">
        <v>55</v>
      </c>
      <c r="G81">
        <v>0.6966</v>
      </c>
      <c r="H81">
        <v>104</v>
      </c>
      <c r="I81" s="61">
        <v>0.25</v>
      </c>
      <c r="J81" t="s">
        <v>35</v>
      </c>
      <c r="K81">
        <v>15.394860000000001</v>
      </c>
      <c r="L81">
        <v>6.5480399999999994E-2</v>
      </c>
      <c r="M81">
        <v>2.7864000000000001E-3</v>
      </c>
      <c r="N81">
        <v>2.2987800000000003E-2</v>
      </c>
      <c r="O81" s="2" t="s">
        <v>228</v>
      </c>
      <c r="P81" t="s">
        <v>57</v>
      </c>
      <c r="Q81" s="19" t="str">
        <f>Tableau1[[#This Row],[Voie de transport]]&amp;Tableau1[[#This Row],[Type de chargement]]</f>
        <v>Voie navigable VIbConteneur</v>
      </c>
      <c r="R81" s="19" t="str">
        <f>Tableau1[[#This Row],[Voie X Fret]]&amp;Tableau1[[#This Row],[Densité de chargement ]]</f>
        <v>Voie navigable VIbConteneurLéger</v>
      </c>
    </row>
    <row r="82" spans="1:18" x14ac:dyDescent="0.3">
      <c r="A82" t="s">
        <v>52</v>
      </c>
      <c r="B82" t="s">
        <v>62</v>
      </c>
      <c r="C82" t="s">
        <v>54</v>
      </c>
      <c r="D82" t="s">
        <v>63</v>
      </c>
      <c r="E82" t="s">
        <v>58</v>
      </c>
      <c r="G82">
        <v>0.63419999999999999</v>
      </c>
      <c r="H82">
        <v>156</v>
      </c>
      <c r="I82" s="61">
        <v>0.25</v>
      </c>
      <c r="J82" t="s">
        <v>34</v>
      </c>
      <c r="K82">
        <v>44.140319999999996</v>
      </c>
      <c r="L82">
        <v>2.79048E-4</v>
      </c>
      <c r="M82" t="s">
        <v>56</v>
      </c>
      <c r="N82" t="s">
        <v>56</v>
      </c>
      <c r="O82" s="2" t="s">
        <v>228</v>
      </c>
      <c r="P82" t="s">
        <v>57</v>
      </c>
      <c r="Q82" s="19" t="str">
        <f>Tableau1[[#This Row],[Voie de transport]]&amp;Tableau1[[#This Row],[Type de chargement]]</f>
        <v>Voie navigable VIbConteneur</v>
      </c>
      <c r="R82" s="19" t="str">
        <f>Tableau1[[#This Row],[Voie X Fret]]&amp;Tableau1[[#This Row],[Densité de chargement ]]</f>
        <v>Voie navigable VIbConteneurLéger</v>
      </c>
    </row>
    <row r="83" spans="1:18" x14ac:dyDescent="0.3">
      <c r="A83" t="s">
        <v>52</v>
      </c>
      <c r="B83" t="s">
        <v>62</v>
      </c>
      <c r="C83" t="s">
        <v>54</v>
      </c>
      <c r="D83" t="s">
        <v>63</v>
      </c>
      <c r="E83" t="s">
        <v>58</v>
      </c>
      <c r="G83">
        <v>0.63419999999999999</v>
      </c>
      <c r="H83">
        <v>156</v>
      </c>
      <c r="I83" s="61">
        <v>0.25</v>
      </c>
      <c r="J83" t="s">
        <v>35</v>
      </c>
      <c r="K83">
        <v>14.01582</v>
      </c>
      <c r="L83">
        <v>5.9614799999999996E-2</v>
      </c>
      <c r="M83">
        <v>2.5368000000000001E-3</v>
      </c>
      <c r="N83">
        <v>2.0928600000000002E-2</v>
      </c>
      <c r="O83" s="2" t="s">
        <v>228</v>
      </c>
      <c r="P83" t="s">
        <v>57</v>
      </c>
      <c r="Q83" s="19" t="str">
        <f>Tableau1[[#This Row],[Voie de transport]]&amp;Tableau1[[#This Row],[Type de chargement]]</f>
        <v>Voie navigable VIbConteneur</v>
      </c>
      <c r="R83" s="19" t="str">
        <f>Tableau1[[#This Row],[Voie X Fret]]&amp;Tableau1[[#This Row],[Densité de chargement ]]</f>
        <v>Voie navigable VIbConteneurLéger</v>
      </c>
    </row>
    <row r="84" spans="1:18" x14ac:dyDescent="0.3">
      <c r="A84" t="s">
        <v>52</v>
      </c>
      <c r="B84" t="s">
        <v>62</v>
      </c>
      <c r="C84" t="s">
        <v>54</v>
      </c>
      <c r="D84" t="s">
        <v>63</v>
      </c>
      <c r="E84" t="s">
        <v>59</v>
      </c>
      <c r="G84">
        <v>0.59099999999999997</v>
      </c>
      <c r="H84">
        <v>192</v>
      </c>
      <c r="I84" s="61">
        <v>0.25</v>
      </c>
      <c r="J84" t="s">
        <v>34</v>
      </c>
      <c r="K84">
        <v>41.133599999999994</v>
      </c>
      <c r="L84">
        <v>2.6004000000000001E-4</v>
      </c>
      <c r="M84" t="s">
        <v>56</v>
      </c>
      <c r="N84" t="s">
        <v>56</v>
      </c>
      <c r="O84" s="2" t="s">
        <v>228</v>
      </c>
      <c r="P84" t="s">
        <v>57</v>
      </c>
      <c r="Q84" s="19" t="str">
        <f>Tableau1[[#This Row],[Voie de transport]]&amp;Tableau1[[#This Row],[Type de chargement]]</f>
        <v>Voie navigable VIbConteneur</v>
      </c>
      <c r="R84" s="19" t="str">
        <f>Tableau1[[#This Row],[Voie X Fret]]&amp;Tableau1[[#This Row],[Densité de chargement ]]</f>
        <v>Voie navigable VIbConteneurLéger</v>
      </c>
    </row>
    <row r="85" spans="1:18" x14ac:dyDescent="0.3">
      <c r="A85" t="s">
        <v>52</v>
      </c>
      <c r="B85" t="s">
        <v>62</v>
      </c>
      <c r="C85" t="s">
        <v>54</v>
      </c>
      <c r="D85" t="s">
        <v>63</v>
      </c>
      <c r="E85" t="s">
        <v>59</v>
      </c>
      <c r="G85">
        <v>0.59099999999999997</v>
      </c>
      <c r="H85">
        <v>192</v>
      </c>
      <c r="I85" s="61">
        <v>0.25</v>
      </c>
      <c r="J85" t="s">
        <v>35</v>
      </c>
      <c r="K85">
        <v>13.0611</v>
      </c>
      <c r="L85">
        <v>5.5553999999999999E-2</v>
      </c>
      <c r="M85">
        <v>2.3639999999999998E-3</v>
      </c>
      <c r="N85">
        <v>1.9503E-2</v>
      </c>
      <c r="O85" s="2" t="s">
        <v>228</v>
      </c>
      <c r="P85" t="s">
        <v>57</v>
      </c>
      <c r="Q85" s="19" t="str">
        <f>Tableau1[[#This Row],[Voie de transport]]&amp;Tableau1[[#This Row],[Type de chargement]]</f>
        <v>Voie navigable VIbConteneur</v>
      </c>
      <c r="R85" s="19" t="str">
        <f>Tableau1[[#This Row],[Voie X Fret]]&amp;Tableau1[[#This Row],[Densité de chargement ]]</f>
        <v>Voie navigable VIbConteneurLéger</v>
      </c>
    </row>
    <row r="86" spans="1:18" x14ac:dyDescent="0.3">
      <c r="A86" t="s">
        <v>52</v>
      </c>
      <c r="B86" t="s">
        <v>62</v>
      </c>
      <c r="C86" t="s">
        <v>54</v>
      </c>
      <c r="D86" t="s">
        <v>63</v>
      </c>
      <c r="E86" t="s">
        <v>60</v>
      </c>
      <c r="G86">
        <v>0.4758</v>
      </c>
      <c r="H86">
        <v>288</v>
      </c>
      <c r="I86" s="61">
        <v>0.25</v>
      </c>
      <c r="J86" t="s">
        <v>34</v>
      </c>
      <c r="K86">
        <v>33.115679999999998</v>
      </c>
      <c r="L86">
        <v>2.09352E-4</v>
      </c>
      <c r="M86" t="s">
        <v>56</v>
      </c>
      <c r="N86" t="s">
        <v>56</v>
      </c>
      <c r="O86" s="2" t="s">
        <v>228</v>
      </c>
      <c r="P86" t="s">
        <v>57</v>
      </c>
      <c r="Q86" s="19" t="str">
        <f>Tableau1[[#This Row],[Voie de transport]]&amp;Tableau1[[#This Row],[Type de chargement]]</f>
        <v>Voie navigable VIbConteneur</v>
      </c>
      <c r="R86" s="19" t="str">
        <f>Tableau1[[#This Row],[Voie X Fret]]&amp;Tableau1[[#This Row],[Densité de chargement ]]</f>
        <v>Voie navigable VIbConteneurLéger</v>
      </c>
    </row>
    <row r="87" spans="1:18" x14ac:dyDescent="0.3">
      <c r="A87" t="s">
        <v>52</v>
      </c>
      <c r="B87" t="s">
        <v>62</v>
      </c>
      <c r="C87" t="s">
        <v>54</v>
      </c>
      <c r="D87" t="s">
        <v>63</v>
      </c>
      <c r="E87" t="s">
        <v>60</v>
      </c>
      <c r="G87">
        <v>0.4758</v>
      </c>
      <c r="H87">
        <v>288</v>
      </c>
      <c r="I87" s="61">
        <v>0.25</v>
      </c>
      <c r="J87" t="s">
        <v>35</v>
      </c>
      <c r="K87">
        <v>10.515180000000001</v>
      </c>
      <c r="L87">
        <v>4.47252E-2</v>
      </c>
      <c r="M87">
        <v>1.9032000000000001E-3</v>
      </c>
      <c r="N87">
        <v>1.5701400000000001E-2</v>
      </c>
      <c r="O87" s="2" t="s">
        <v>228</v>
      </c>
      <c r="P87" t="s">
        <v>57</v>
      </c>
      <c r="Q87" s="19" t="str">
        <f>Tableau1[[#This Row],[Voie de transport]]&amp;Tableau1[[#This Row],[Type de chargement]]</f>
        <v>Voie navigable VIbConteneur</v>
      </c>
      <c r="R87" s="19" t="str">
        <f>Tableau1[[#This Row],[Voie X Fret]]&amp;Tableau1[[#This Row],[Densité de chargement ]]</f>
        <v>Voie navigable VIbConteneurLéger</v>
      </c>
    </row>
    <row r="88" spans="1:18" x14ac:dyDescent="0.3">
      <c r="A88" t="s">
        <v>52</v>
      </c>
      <c r="B88" t="s">
        <v>62</v>
      </c>
      <c r="C88" t="s">
        <v>54</v>
      </c>
      <c r="D88" t="s">
        <v>63</v>
      </c>
      <c r="E88" t="s">
        <v>61</v>
      </c>
      <c r="G88">
        <v>0.75660000000000005</v>
      </c>
      <c r="H88">
        <v>54</v>
      </c>
      <c r="I88" s="61">
        <v>0.25</v>
      </c>
      <c r="J88" t="s">
        <v>34</v>
      </c>
      <c r="K88">
        <v>52.65936</v>
      </c>
      <c r="L88">
        <v>3.3290400000000002E-4</v>
      </c>
      <c r="M88" t="s">
        <v>56</v>
      </c>
      <c r="N88" t="s">
        <v>56</v>
      </c>
      <c r="O88" s="2" t="s">
        <v>228</v>
      </c>
      <c r="P88" t="s">
        <v>57</v>
      </c>
      <c r="Q88" s="19" t="str">
        <f>Tableau1[[#This Row],[Voie de transport]]&amp;Tableau1[[#This Row],[Type de chargement]]</f>
        <v>Voie navigable VIbConteneur</v>
      </c>
      <c r="R88" s="19" t="str">
        <f>Tableau1[[#This Row],[Voie X Fret]]&amp;Tableau1[[#This Row],[Densité de chargement ]]</f>
        <v>Voie navigable VIbConteneurLéger</v>
      </c>
    </row>
    <row r="89" spans="1:18" x14ac:dyDescent="0.3">
      <c r="A89" t="s">
        <v>52</v>
      </c>
      <c r="B89" t="s">
        <v>62</v>
      </c>
      <c r="C89" t="s">
        <v>54</v>
      </c>
      <c r="D89" t="s">
        <v>63</v>
      </c>
      <c r="E89" t="s">
        <v>61</v>
      </c>
      <c r="G89">
        <v>0.75660000000000005</v>
      </c>
      <c r="H89">
        <v>54</v>
      </c>
      <c r="I89" s="61">
        <v>0.25</v>
      </c>
      <c r="J89" t="s">
        <v>35</v>
      </c>
      <c r="K89">
        <v>16.720860000000002</v>
      </c>
      <c r="L89">
        <v>7.11204E-2</v>
      </c>
      <c r="M89">
        <v>3.0264000000000003E-3</v>
      </c>
      <c r="N89">
        <v>2.4967800000000002E-2</v>
      </c>
      <c r="O89" s="2" t="s">
        <v>228</v>
      </c>
      <c r="P89" t="s">
        <v>57</v>
      </c>
      <c r="Q89" s="19" t="str">
        <f>Tableau1[[#This Row],[Voie de transport]]&amp;Tableau1[[#This Row],[Type de chargement]]</f>
        <v>Voie navigable VIbConteneur</v>
      </c>
      <c r="R89" s="19" t="str">
        <f>Tableau1[[#This Row],[Voie X Fret]]&amp;Tableau1[[#This Row],[Densité de chargement ]]</f>
        <v>Voie navigable VIbConteneurLéger</v>
      </c>
    </row>
    <row r="90" spans="1:18" x14ac:dyDescent="0.3">
      <c r="A90" t="s">
        <v>52</v>
      </c>
      <c r="B90" t="s">
        <v>53</v>
      </c>
      <c r="C90" t="s">
        <v>15</v>
      </c>
      <c r="D90" t="s">
        <v>19</v>
      </c>
      <c r="E90" t="s">
        <v>64</v>
      </c>
      <c r="G90">
        <v>0.37</v>
      </c>
      <c r="H90">
        <v>600</v>
      </c>
      <c r="I90" s="61">
        <v>0.3</v>
      </c>
      <c r="J90" t="s">
        <v>34</v>
      </c>
      <c r="K90">
        <v>25.52</v>
      </c>
      <c r="L90">
        <v>1.4999999999999999E-4</v>
      </c>
      <c r="M90">
        <v>1.6E-2</v>
      </c>
      <c r="N90">
        <v>0.37</v>
      </c>
      <c r="O90" s="2" t="s">
        <v>228</v>
      </c>
      <c r="P90" t="s">
        <v>65</v>
      </c>
      <c r="Q90" s="19" t="str">
        <f>Tableau1[[#This Row],[Voie de transport]]&amp;Tableau1[[#This Row],[Type de chargement]]</f>
        <v>Voie navigable VaVrac</v>
      </c>
      <c r="R90" s="19" t="str">
        <f>Tableau1[[#This Row],[Voie X Fret]]&amp;Tableau1[[#This Row],[Densité de chargement ]]</f>
        <v>Voie navigable VaVracMoyen</v>
      </c>
    </row>
    <row r="91" spans="1:18" x14ac:dyDescent="0.3">
      <c r="A91" t="s">
        <v>52</v>
      </c>
      <c r="B91" t="s">
        <v>62</v>
      </c>
      <c r="C91" t="s">
        <v>15</v>
      </c>
      <c r="D91" t="s">
        <v>19</v>
      </c>
      <c r="E91" t="s">
        <v>64</v>
      </c>
      <c r="G91">
        <v>0.45</v>
      </c>
      <c r="H91">
        <v>600</v>
      </c>
      <c r="I91" s="61">
        <v>0.3</v>
      </c>
      <c r="J91" t="s">
        <v>35</v>
      </c>
      <c r="K91">
        <v>9.89</v>
      </c>
      <c r="L91">
        <v>4.181E-2</v>
      </c>
      <c r="M91">
        <v>2.0000000000000018E-3</v>
      </c>
      <c r="N91">
        <v>9.9999999999999534E-3</v>
      </c>
      <c r="O91" s="2" t="s">
        <v>228</v>
      </c>
      <c r="P91" t="s">
        <v>65</v>
      </c>
      <c r="Q91" s="19" t="str">
        <f>Tableau1[[#This Row],[Voie de transport]]&amp;Tableau1[[#This Row],[Type de chargement]]</f>
        <v>Voie navigable VIbVrac</v>
      </c>
      <c r="R91" s="19" t="str">
        <f>Tableau1[[#This Row],[Voie X Fret]]&amp;Tableau1[[#This Row],[Densité de chargement ]]</f>
        <v>Voie navigable VIbVracMoyen</v>
      </c>
    </row>
    <row r="92" spans="1:18" x14ac:dyDescent="0.3">
      <c r="A92" t="s">
        <v>52</v>
      </c>
      <c r="B92" t="s">
        <v>62</v>
      </c>
      <c r="C92" t="s">
        <v>15</v>
      </c>
      <c r="D92" t="s">
        <v>19</v>
      </c>
      <c r="E92" t="s">
        <v>64</v>
      </c>
      <c r="G92">
        <v>0.45</v>
      </c>
      <c r="H92">
        <v>600</v>
      </c>
      <c r="I92" s="61">
        <v>0.3</v>
      </c>
      <c r="J92" t="s">
        <v>34</v>
      </c>
      <c r="K92">
        <v>31.07</v>
      </c>
      <c r="L92">
        <v>1.9000000000000001E-4</v>
      </c>
      <c r="M92">
        <v>1.9E-2</v>
      </c>
      <c r="N92">
        <v>0.46</v>
      </c>
      <c r="O92" s="2" t="s">
        <v>228</v>
      </c>
      <c r="P92" t="s">
        <v>65</v>
      </c>
      <c r="Q92" s="19" t="str">
        <f>Tableau1[[#This Row],[Voie de transport]]&amp;Tableau1[[#This Row],[Type de chargement]]</f>
        <v>Voie navigable VIbVrac</v>
      </c>
      <c r="R92" s="19" t="str">
        <f>Tableau1[[#This Row],[Voie X Fret]]&amp;Tableau1[[#This Row],[Densité de chargement ]]</f>
        <v>Voie navigable VIbVracMoyen</v>
      </c>
    </row>
    <row r="93" spans="1:18" x14ac:dyDescent="0.3">
      <c r="A93" t="s">
        <v>52</v>
      </c>
      <c r="B93" s="28" t="s">
        <v>53</v>
      </c>
      <c r="C93" s="28" t="s">
        <v>15</v>
      </c>
      <c r="D93" s="28" t="s">
        <v>19</v>
      </c>
      <c r="E93" s="28" t="s">
        <v>64</v>
      </c>
      <c r="G93" s="28">
        <v>0.37</v>
      </c>
      <c r="H93">
        <v>600</v>
      </c>
      <c r="I93" s="61">
        <v>0.3</v>
      </c>
      <c r="J93" t="s">
        <v>35</v>
      </c>
      <c r="K93">
        <v>8.110000000000003</v>
      </c>
      <c r="L93">
        <v>3.4850000000000006E-2</v>
      </c>
      <c r="M93">
        <v>1.0000000000000009E-3</v>
      </c>
      <c r="N93">
        <v>1.0000000000000009E-2</v>
      </c>
      <c r="O93" s="2" t="s">
        <v>228</v>
      </c>
      <c r="P93" t="s">
        <v>65</v>
      </c>
      <c r="Q93" s="19" t="str">
        <f>Tableau1[[#This Row],[Voie de transport]]&amp;Tableau1[[#This Row],[Type de chargement]]</f>
        <v>Voie navigable VaVrac</v>
      </c>
      <c r="R93" s="19" t="str">
        <f>Tableau1[[#This Row],[Voie X Fret]]&amp;Tableau1[[#This Row],[Densité de chargement ]]</f>
        <v>Voie navigable VaVracMoyen</v>
      </c>
    </row>
    <row r="94" spans="1:18" x14ac:dyDescent="0.3">
      <c r="A94" t="s">
        <v>52</v>
      </c>
      <c r="B94" s="28" t="s">
        <v>53</v>
      </c>
      <c r="C94" s="28" t="s">
        <v>15</v>
      </c>
      <c r="D94" s="28" t="s">
        <v>19</v>
      </c>
      <c r="E94" s="28" t="s">
        <v>67</v>
      </c>
      <c r="G94">
        <v>0.36</v>
      </c>
      <c r="H94">
        <v>5000</v>
      </c>
      <c r="I94" s="61">
        <v>0.25</v>
      </c>
      <c r="J94" t="s">
        <v>34</v>
      </c>
      <c r="K94" s="230"/>
      <c r="L94" s="6">
        <v>8.8000000000000004E-6</v>
      </c>
      <c r="M94" s="6" t="s">
        <v>56</v>
      </c>
      <c r="N94" s="6" t="s">
        <v>56</v>
      </c>
      <c r="O94" s="2" t="s">
        <v>228</v>
      </c>
      <c r="P94" s="28" t="s">
        <v>57</v>
      </c>
      <c r="Q94" s="19" t="str">
        <f>Tableau1[[#This Row],[Voie de transport]]&amp;Tableau1[[#This Row],[Type de chargement]]</f>
        <v>Voie navigable VaVrac</v>
      </c>
      <c r="R94" s="19" t="str">
        <f>Tableau1[[#This Row],[Voie X Fret]]&amp;Tableau1[[#This Row],[Densité de chargement ]]</f>
        <v>Voie navigable VaVracMoyen</v>
      </c>
    </row>
    <row r="95" spans="1:18" x14ac:dyDescent="0.3">
      <c r="A95" t="s">
        <v>52</v>
      </c>
      <c r="B95" t="s">
        <v>62</v>
      </c>
      <c r="C95" t="s">
        <v>15</v>
      </c>
      <c r="D95" t="s">
        <v>19</v>
      </c>
      <c r="E95" t="s">
        <v>67</v>
      </c>
      <c r="G95">
        <v>0.33</v>
      </c>
      <c r="H95">
        <v>5000</v>
      </c>
      <c r="I95" s="61">
        <v>0.25</v>
      </c>
      <c r="J95" t="s">
        <v>35</v>
      </c>
      <c r="K95">
        <v>7.2100000000000009</v>
      </c>
      <c r="L95">
        <v>3.0859999999999999E-2</v>
      </c>
      <c r="M95">
        <v>1.0000000000000009E-3</v>
      </c>
      <c r="N95">
        <v>1.0000000000000009E-2</v>
      </c>
      <c r="O95" s="2" t="s">
        <v>228</v>
      </c>
      <c r="P95" t="s">
        <v>65</v>
      </c>
      <c r="Q95" s="19" t="str">
        <f>Tableau1[[#This Row],[Voie de transport]]&amp;Tableau1[[#This Row],[Type de chargement]]</f>
        <v>Voie navigable VIbVrac</v>
      </c>
      <c r="R95" s="19" t="str">
        <f>Tableau1[[#This Row],[Voie X Fret]]&amp;Tableau1[[#This Row],[Densité de chargement ]]</f>
        <v>Voie navigable VIbVracMoyen</v>
      </c>
    </row>
    <row r="96" spans="1:18" x14ac:dyDescent="0.3">
      <c r="A96" t="s">
        <v>52</v>
      </c>
      <c r="B96" t="s">
        <v>62</v>
      </c>
      <c r="C96" t="s">
        <v>15</v>
      </c>
      <c r="D96" t="s">
        <v>19</v>
      </c>
      <c r="E96" t="s">
        <v>67</v>
      </c>
      <c r="G96">
        <v>0.33</v>
      </c>
      <c r="H96">
        <v>5000</v>
      </c>
      <c r="I96" s="61">
        <v>0.25</v>
      </c>
      <c r="J96" t="s">
        <v>34</v>
      </c>
      <c r="K96">
        <v>22.68</v>
      </c>
      <c r="L96">
        <v>1.3999999999999999E-4</v>
      </c>
      <c r="M96">
        <v>8.9999999999999993E-3</v>
      </c>
      <c r="N96">
        <v>0.3</v>
      </c>
      <c r="O96" s="2" t="s">
        <v>228</v>
      </c>
      <c r="P96" t="s">
        <v>65</v>
      </c>
      <c r="Q96" s="19" t="str">
        <f>Tableau1[[#This Row],[Voie de transport]]&amp;Tableau1[[#This Row],[Type de chargement]]</f>
        <v>Voie navigable VIbVrac</v>
      </c>
      <c r="R96" s="19" t="str">
        <f>Tableau1[[#This Row],[Voie X Fret]]&amp;Tableau1[[#This Row],[Densité de chargement ]]</f>
        <v>Voie navigable VIbVracMoyen</v>
      </c>
    </row>
    <row r="97" spans="1:18" x14ac:dyDescent="0.3">
      <c r="A97" t="s">
        <v>52</v>
      </c>
      <c r="B97" s="28" t="s">
        <v>53</v>
      </c>
      <c r="C97" s="28" t="s">
        <v>15</v>
      </c>
      <c r="D97" s="28" t="s">
        <v>19</v>
      </c>
      <c r="E97" s="28" t="s">
        <v>67</v>
      </c>
      <c r="G97" s="28">
        <v>0.02</v>
      </c>
      <c r="H97">
        <v>5000</v>
      </c>
      <c r="I97" s="61">
        <v>0.25</v>
      </c>
      <c r="J97" t="s">
        <v>35</v>
      </c>
      <c r="K97">
        <v>0.44200000000000006</v>
      </c>
      <c r="L97">
        <v>1.8799999999999999E-3</v>
      </c>
      <c r="M97">
        <v>8.0000000000000007E-5</v>
      </c>
      <c r="N97">
        <v>6.6E-4</v>
      </c>
      <c r="O97" s="2" t="s">
        <v>228</v>
      </c>
      <c r="P97" s="28" t="s">
        <v>57</v>
      </c>
      <c r="Q97" s="19" t="str">
        <f>Tableau1[[#This Row],[Voie de transport]]&amp;Tableau1[[#This Row],[Type de chargement]]</f>
        <v>Voie navigable VaVrac</v>
      </c>
      <c r="R97" s="19" t="str">
        <f>Tableau1[[#This Row],[Voie X Fret]]&amp;Tableau1[[#This Row],[Densité de chargement ]]</f>
        <v>Voie navigable VaVracMoyen</v>
      </c>
    </row>
    <row r="98" spans="1:18" x14ac:dyDescent="0.3">
      <c r="A98" t="s">
        <v>52</v>
      </c>
      <c r="B98" s="28" t="s">
        <v>53</v>
      </c>
      <c r="C98" s="28" t="s">
        <v>15</v>
      </c>
      <c r="D98" s="28" t="s">
        <v>19</v>
      </c>
      <c r="E98" s="28" t="s">
        <v>68</v>
      </c>
      <c r="G98" s="28">
        <v>0.34899999999999998</v>
      </c>
      <c r="H98">
        <v>1000</v>
      </c>
      <c r="I98" s="61">
        <v>0.25</v>
      </c>
      <c r="J98" t="s">
        <v>34</v>
      </c>
      <c r="K98" s="6">
        <v>24.290399999999995</v>
      </c>
      <c r="L98" s="6">
        <v>1.5355999999999999E-4</v>
      </c>
      <c r="M98" s="6" t="s">
        <v>56</v>
      </c>
      <c r="N98" s="6" t="s">
        <v>56</v>
      </c>
      <c r="O98" s="2" t="s">
        <v>228</v>
      </c>
      <c r="P98" t="s">
        <v>73</v>
      </c>
      <c r="Q98" s="19" t="str">
        <f>Tableau1[[#This Row],[Voie de transport]]&amp;Tableau1[[#This Row],[Type de chargement]]</f>
        <v>Voie navigable VaVrac</v>
      </c>
      <c r="R98" s="19" t="str">
        <f>Tableau1[[#This Row],[Voie X Fret]]&amp;Tableau1[[#This Row],[Densité de chargement ]]</f>
        <v>Voie navigable VaVracMoyen</v>
      </c>
    </row>
    <row r="99" spans="1:18" x14ac:dyDescent="0.3">
      <c r="A99" t="s">
        <v>52</v>
      </c>
      <c r="B99" s="28" t="s">
        <v>62</v>
      </c>
      <c r="C99" s="28" t="s">
        <v>15</v>
      </c>
      <c r="D99" s="28" t="s">
        <v>19</v>
      </c>
      <c r="E99" s="28" t="s">
        <v>68</v>
      </c>
      <c r="G99">
        <v>0.37</v>
      </c>
      <c r="H99">
        <v>1000</v>
      </c>
      <c r="I99" s="61">
        <v>0.25</v>
      </c>
      <c r="J99" t="s">
        <v>35</v>
      </c>
      <c r="K99">
        <v>8.2676099999999995</v>
      </c>
      <c r="L99">
        <v>3.5165399999999999E-2</v>
      </c>
      <c r="M99">
        <v>1.4963999999999999E-3</v>
      </c>
      <c r="N99">
        <v>1.23453E-2</v>
      </c>
      <c r="O99" s="2" t="s">
        <v>228</v>
      </c>
      <c r="P99" s="28" t="s">
        <v>57</v>
      </c>
      <c r="Q99" s="19" t="str">
        <f>Tableau1[[#This Row],[Voie de transport]]&amp;Tableau1[[#This Row],[Type de chargement]]</f>
        <v>Voie navigable VIbVrac</v>
      </c>
      <c r="R99" s="19" t="str">
        <f>Tableau1[[#This Row],[Voie X Fret]]&amp;Tableau1[[#This Row],[Densité de chargement ]]</f>
        <v>Voie navigable VIbVracMoyen</v>
      </c>
    </row>
    <row r="100" spans="1:18" x14ac:dyDescent="0.3">
      <c r="A100" t="s">
        <v>52</v>
      </c>
      <c r="B100" s="28" t="s">
        <v>62</v>
      </c>
      <c r="C100" s="28" t="s">
        <v>15</v>
      </c>
      <c r="D100" s="28" t="s">
        <v>19</v>
      </c>
      <c r="E100" s="28" t="s">
        <v>68</v>
      </c>
      <c r="G100">
        <v>0.37</v>
      </c>
      <c r="H100">
        <v>1000</v>
      </c>
      <c r="I100" s="61">
        <v>0.25</v>
      </c>
      <c r="J100" t="s">
        <v>34</v>
      </c>
      <c r="K100">
        <v>26.037359999999996</v>
      </c>
      <c r="L100">
        <v>1.64604E-4</v>
      </c>
      <c r="M100" t="s">
        <v>56</v>
      </c>
      <c r="N100" t="s">
        <v>56</v>
      </c>
      <c r="O100" s="2" t="s">
        <v>228</v>
      </c>
      <c r="P100" s="28" t="s">
        <v>57</v>
      </c>
      <c r="Q100" s="19" t="str">
        <f>Tableau1[[#This Row],[Voie de transport]]&amp;Tableau1[[#This Row],[Type de chargement]]</f>
        <v>Voie navigable VIbVrac</v>
      </c>
      <c r="R100" s="19" t="str">
        <f>Tableau1[[#This Row],[Voie X Fret]]&amp;Tableau1[[#This Row],[Densité de chargement ]]</f>
        <v>Voie navigable VIbVracMoyen</v>
      </c>
    </row>
    <row r="101" spans="1:18" x14ac:dyDescent="0.3">
      <c r="A101" t="s">
        <v>52</v>
      </c>
      <c r="B101" s="28" t="s">
        <v>53</v>
      </c>
      <c r="C101" s="28" t="s">
        <v>15</v>
      </c>
      <c r="D101" s="28" t="s">
        <v>19</v>
      </c>
      <c r="E101" s="28" t="s">
        <v>68</v>
      </c>
      <c r="G101" s="28">
        <v>0.34899999999999998</v>
      </c>
      <c r="H101">
        <v>1000</v>
      </c>
      <c r="I101" s="61">
        <v>0.25</v>
      </c>
      <c r="J101" t="s">
        <v>35</v>
      </c>
      <c r="K101" s="5">
        <v>7.7129000000000003</v>
      </c>
      <c r="L101" s="5">
        <v>3.2805999999999995E-2</v>
      </c>
      <c r="M101" s="5">
        <v>1.3959999999999999E-3</v>
      </c>
      <c r="N101" s="5">
        <v>1.1516999999999999E-2</v>
      </c>
      <c r="O101" s="2" t="s">
        <v>228</v>
      </c>
      <c r="P101" t="s">
        <v>73</v>
      </c>
      <c r="Q101" s="19" t="str">
        <f>Tableau1[[#This Row],[Voie de transport]]&amp;Tableau1[[#This Row],[Type de chargement]]</f>
        <v>Voie navigable VaVrac</v>
      </c>
      <c r="R101" s="19" t="str">
        <f>Tableau1[[#This Row],[Voie X Fret]]&amp;Tableau1[[#This Row],[Densité de chargement ]]</f>
        <v>Voie navigable VaVracMoyen</v>
      </c>
    </row>
    <row r="102" spans="1:18" x14ac:dyDescent="0.3">
      <c r="A102" t="s">
        <v>52</v>
      </c>
      <c r="B102" s="28" t="s">
        <v>53</v>
      </c>
      <c r="C102" s="28" t="s">
        <v>15</v>
      </c>
      <c r="D102" s="28" t="s">
        <v>19</v>
      </c>
      <c r="E102" s="28" t="s">
        <v>69</v>
      </c>
      <c r="G102" s="28">
        <v>0.17</v>
      </c>
      <c r="H102">
        <v>3000</v>
      </c>
      <c r="I102" s="61">
        <v>0.25</v>
      </c>
      <c r="J102" t="s">
        <v>34</v>
      </c>
      <c r="K102">
        <v>12.15</v>
      </c>
      <c r="L102">
        <v>6.9999999999999994E-5</v>
      </c>
      <c r="M102">
        <v>8.0000000000000002E-3</v>
      </c>
      <c r="N102">
        <v>0.18</v>
      </c>
      <c r="O102" s="2" t="s">
        <v>228</v>
      </c>
      <c r="P102" t="s">
        <v>66</v>
      </c>
      <c r="Q102" s="19" t="str">
        <f>Tableau1[[#This Row],[Voie de transport]]&amp;Tableau1[[#This Row],[Type de chargement]]</f>
        <v>Voie navigable VaVrac</v>
      </c>
      <c r="R102" s="19" t="str">
        <f>Tableau1[[#This Row],[Voie X Fret]]&amp;Tableau1[[#This Row],[Densité de chargement ]]</f>
        <v>Voie navigable VaVracMoyen</v>
      </c>
    </row>
    <row r="103" spans="1:18" x14ac:dyDescent="0.3">
      <c r="A103" t="s">
        <v>52</v>
      </c>
      <c r="B103" s="28" t="s">
        <v>62</v>
      </c>
      <c r="C103" s="28" t="s">
        <v>15</v>
      </c>
      <c r="D103" s="28" t="s">
        <v>19</v>
      </c>
      <c r="E103" s="28" t="s">
        <v>69</v>
      </c>
      <c r="G103">
        <v>0.17</v>
      </c>
      <c r="H103">
        <v>3000</v>
      </c>
      <c r="I103" s="61">
        <v>0.25</v>
      </c>
      <c r="J103" t="s">
        <v>35</v>
      </c>
      <c r="K103">
        <v>5.4499999999999993</v>
      </c>
      <c r="L103">
        <v>2.29E-2</v>
      </c>
      <c r="M103">
        <v>1.0000000000000009E-3</v>
      </c>
      <c r="N103">
        <v>1.0000000000000009E-2</v>
      </c>
      <c r="O103" s="2" t="s">
        <v>228</v>
      </c>
      <c r="P103" t="s">
        <v>74</v>
      </c>
      <c r="Q103" s="19" t="str">
        <f>Tableau1[[#This Row],[Voie de transport]]&amp;Tableau1[[#This Row],[Type de chargement]]</f>
        <v>Voie navigable VIbVrac</v>
      </c>
      <c r="R103" s="19" t="str">
        <f>Tableau1[[#This Row],[Voie X Fret]]&amp;Tableau1[[#This Row],[Densité de chargement ]]</f>
        <v>Voie navigable VIbVracMoyen</v>
      </c>
    </row>
    <row r="104" spans="1:18" x14ac:dyDescent="0.3">
      <c r="A104" t="s">
        <v>52</v>
      </c>
      <c r="B104" s="28" t="s">
        <v>62</v>
      </c>
      <c r="C104" s="28" t="s">
        <v>15</v>
      </c>
      <c r="D104" s="28" t="s">
        <v>19</v>
      </c>
      <c r="E104" s="28" t="s">
        <v>69</v>
      </c>
      <c r="G104">
        <v>0.25</v>
      </c>
      <c r="H104">
        <v>3000</v>
      </c>
      <c r="I104" s="61">
        <v>0.25</v>
      </c>
      <c r="J104" t="s">
        <v>34</v>
      </c>
      <c r="K104">
        <v>17.170000000000002</v>
      </c>
      <c r="L104">
        <v>1E-4</v>
      </c>
      <c r="M104">
        <v>8.9999999999999993E-3</v>
      </c>
      <c r="N104">
        <v>0.24</v>
      </c>
      <c r="O104" s="2" t="s">
        <v>228</v>
      </c>
      <c r="P104" t="s">
        <v>65</v>
      </c>
      <c r="Q104" s="19" t="str">
        <f>Tableau1[[#This Row],[Voie de transport]]&amp;Tableau1[[#This Row],[Type de chargement]]</f>
        <v>Voie navigable VIbVrac</v>
      </c>
      <c r="R104" s="19" t="str">
        <f>Tableau1[[#This Row],[Voie X Fret]]&amp;Tableau1[[#This Row],[Densité de chargement ]]</f>
        <v>Voie navigable VIbVracMoyen</v>
      </c>
    </row>
    <row r="105" spans="1:18" x14ac:dyDescent="0.3">
      <c r="A105" t="s">
        <v>52</v>
      </c>
      <c r="B105" s="28" t="s">
        <v>53</v>
      </c>
      <c r="C105" s="28" t="s">
        <v>15</v>
      </c>
      <c r="D105" s="28" t="s">
        <v>19</v>
      </c>
      <c r="E105" s="28" t="s">
        <v>69</v>
      </c>
      <c r="G105" s="28">
        <v>0.25</v>
      </c>
      <c r="H105">
        <v>3000</v>
      </c>
      <c r="I105" s="61">
        <v>0.25</v>
      </c>
      <c r="J105" t="s">
        <v>35</v>
      </c>
      <c r="K105">
        <v>3.8699999999999992</v>
      </c>
      <c r="L105">
        <v>1.6930000000000001E-2</v>
      </c>
      <c r="M105">
        <v>0</v>
      </c>
      <c r="N105">
        <v>0</v>
      </c>
      <c r="O105" s="2" t="s">
        <v>228</v>
      </c>
      <c r="P105" t="s">
        <v>65</v>
      </c>
      <c r="Q105" s="19" t="str">
        <f>Tableau1[[#This Row],[Voie de transport]]&amp;Tableau1[[#This Row],[Type de chargement]]</f>
        <v>Voie navigable VaVrac</v>
      </c>
      <c r="R105" s="19" t="str">
        <f>Tableau1[[#This Row],[Voie X Fret]]&amp;Tableau1[[#This Row],[Densité de chargement ]]</f>
        <v>Voie navigable VaVracMoyen</v>
      </c>
    </row>
    <row r="106" spans="1:18" x14ac:dyDescent="0.3">
      <c r="A106" t="s">
        <v>52</v>
      </c>
      <c r="B106" s="28" t="s">
        <v>53</v>
      </c>
      <c r="C106" s="28" t="s">
        <v>15</v>
      </c>
      <c r="D106" s="28" t="s">
        <v>19</v>
      </c>
      <c r="E106" s="28" t="s">
        <v>70</v>
      </c>
      <c r="G106" s="28">
        <v>0.223</v>
      </c>
      <c r="H106">
        <v>2000</v>
      </c>
      <c r="I106" s="61">
        <v>0.25</v>
      </c>
      <c r="J106" t="s">
        <v>34</v>
      </c>
      <c r="K106" s="6">
        <v>15.520799999999999</v>
      </c>
      <c r="L106" s="6">
        <v>9.8120000000000002E-5</v>
      </c>
      <c r="M106" s="6" t="s">
        <v>56</v>
      </c>
      <c r="N106" s="6" t="s">
        <v>56</v>
      </c>
      <c r="O106" s="2" t="s">
        <v>228</v>
      </c>
      <c r="P106" t="s">
        <v>73</v>
      </c>
      <c r="Q106" s="19" t="str">
        <f>Tableau1[[#This Row],[Voie de transport]]&amp;Tableau1[[#This Row],[Type de chargement]]</f>
        <v>Voie navigable VaVrac</v>
      </c>
      <c r="R106" s="19" t="str">
        <f>Tableau1[[#This Row],[Voie X Fret]]&amp;Tableau1[[#This Row],[Densité de chargement ]]</f>
        <v>Voie navigable VaVracMoyen</v>
      </c>
    </row>
    <row r="107" spans="1:18" x14ac:dyDescent="0.3">
      <c r="A107" t="s">
        <v>52</v>
      </c>
      <c r="B107" s="28" t="s">
        <v>62</v>
      </c>
      <c r="C107" s="28" t="s">
        <v>15</v>
      </c>
      <c r="D107" s="28" t="s">
        <v>19</v>
      </c>
      <c r="E107" s="28" t="s">
        <v>70</v>
      </c>
      <c r="G107">
        <v>0.35</v>
      </c>
      <c r="H107">
        <v>2000</v>
      </c>
      <c r="I107" s="61">
        <v>0.25</v>
      </c>
      <c r="J107" t="s">
        <v>35</v>
      </c>
      <c r="K107">
        <v>7.8256100000000011</v>
      </c>
      <c r="L107">
        <v>3.32854E-2</v>
      </c>
      <c r="M107">
        <v>1.4164000000000002E-3</v>
      </c>
      <c r="N107">
        <v>1.1685300000000001E-2</v>
      </c>
      <c r="O107" s="2" t="s">
        <v>228</v>
      </c>
      <c r="P107" s="28" t="s">
        <v>57</v>
      </c>
      <c r="Q107" s="19" t="str">
        <f>Tableau1[[#This Row],[Voie de transport]]&amp;Tableau1[[#This Row],[Type de chargement]]</f>
        <v>Voie navigable VIbVrac</v>
      </c>
      <c r="R107" s="19" t="str">
        <f>Tableau1[[#This Row],[Voie X Fret]]&amp;Tableau1[[#This Row],[Densité de chargement ]]</f>
        <v>Voie navigable VIbVracMoyen</v>
      </c>
    </row>
    <row r="108" spans="1:18" x14ac:dyDescent="0.3">
      <c r="A108" t="s">
        <v>52</v>
      </c>
      <c r="B108" s="28" t="s">
        <v>62</v>
      </c>
      <c r="C108" s="28" t="s">
        <v>15</v>
      </c>
      <c r="D108" s="28" t="s">
        <v>19</v>
      </c>
      <c r="E108" s="28" t="s">
        <v>70</v>
      </c>
      <c r="G108">
        <v>0.35</v>
      </c>
      <c r="H108">
        <v>2000</v>
      </c>
      <c r="I108" s="61">
        <v>0.25</v>
      </c>
      <c r="J108" t="s">
        <v>34</v>
      </c>
      <c r="K108">
        <v>24.64536</v>
      </c>
      <c r="L108">
        <v>1.5580400000000003E-4</v>
      </c>
      <c r="M108" t="s">
        <v>56</v>
      </c>
      <c r="N108" t="s">
        <v>56</v>
      </c>
      <c r="O108" s="2" t="s">
        <v>228</v>
      </c>
      <c r="P108" s="28" t="s">
        <v>57</v>
      </c>
      <c r="Q108" s="19" t="str">
        <f>Tableau1[[#This Row],[Voie de transport]]&amp;Tableau1[[#This Row],[Type de chargement]]</f>
        <v>Voie navigable VIbVrac</v>
      </c>
      <c r="R108" s="19" t="str">
        <f>Tableau1[[#This Row],[Voie X Fret]]&amp;Tableau1[[#This Row],[Densité de chargement ]]</f>
        <v>Voie navigable VIbVracMoyen</v>
      </c>
    </row>
    <row r="109" spans="1:18" x14ac:dyDescent="0.3">
      <c r="A109" t="s">
        <v>52</v>
      </c>
      <c r="B109" s="28" t="s">
        <v>53</v>
      </c>
      <c r="C109" s="28" t="s">
        <v>15</v>
      </c>
      <c r="D109" s="28" t="s">
        <v>19</v>
      </c>
      <c r="E109" s="28" t="s">
        <v>70</v>
      </c>
      <c r="G109" s="28">
        <v>0.223</v>
      </c>
      <c r="H109">
        <v>2000</v>
      </c>
      <c r="I109" s="61">
        <v>0.25</v>
      </c>
      <c r="J109" t="s">
        <v>35</v>
      </c>
      <c r="K109" s="6">
        <v>4.9283000000000001</v>
      </c>
      <c r="L109" s="6">
        <v>2.0962000000000001E-2</v>
      </c>
      <c r="M109" s="6">
        <v>8.92E-4</v>
      </c>
      <c r="N109" s="6">
        <v>7.3590000000000001E-3</v>
      </c>
      <c r="O109" s="2" t="s">
        <v>228</v>
      </c>
      <c r="P109" t="s">
        <v>73</v>
      </c>
      <c r="Q109" s="19" t="str">
        <f>Tableau1[[#This Row],[Voie de transport]]&amp;Tableau1[[#This Row],[Type de chargement]]</f>
        <v>Voie navigable VaVrac</v>
      </c>
      <c r="R109" s="19" t="str">
        <f>Tableau1[[#This Row],[Voie X Fret]]&amp;Tableau1[[#This Row],[Densité de chargement ]]</f>
        <v>Voie navigable VaVracMoyen</v>
      </c>
    </row>
    <row r="110" spans="1:18" x14ac:dyDescent="0.3">
      <c r="A110" t="s">
        <v>52</v>
      </c>
      <c r="B110" s="28" t="s">
        <v>53</v>
      </c>
      <c r="C110" s="28" t="s">
        <v>15</v>
      </c>
      <c r="D110" s="28" t="s">
        <v>19</v>
      </c>
      <c r="E110" s="28" t="s">
        <v>61</v>
      </c>
      <c r="G110" s="28">
        <v>0.28000000000000003</v>
      </c>
      <c r="H110">
        <v>1350</v>
      </c>
      <c r="I110" s="61">
        <v>0.3</v>
      </c>
      <c r="J110" t="s">
        <v>34</v>
      </c>
      <c r="K110">
        <v>19.36</v>
      </c>
      <c r="L110">
        <v>1.2E-4</v>
      </c>
      <c r="M110">
        <v>8.9999999999999993E-3</v>
      </c>
      <c r="N110">
        <v>0.26</v>
      </c>
      <c r="O110" s="2" t="s">
        <v>228</v>
      </c>
      <c r="P110" t="s">
        <v>66</v>
      </c>
      <c r="Q110" s="19" t="str">
        <f>Tableau1[[#This Row],[Voie de transport]]&amp;Tableau1[[#This Row],[Type de chargement]]</f>
        <v>Voie navigable VaVrac</v>
      </c>
      <c r="R110" s="19" t="str">
        <f>Tableau1[[#This Row],[Voie X Fret]]&amp;Tableau1[[#This Row],[Densité de chargement ]]</f>
        <v>Voie navigable VaVracMoyen</v>
      </c>
    </row>
    <row r="111" spans="1:18" x14ac:dyDescent="0.3">
      <c r="A111" t="s">
        <v>52</v>
      </c>
      <c r="B111" s="28" t="s">
        <v>53</v>
      </c>
      <c r="C111" s="28" t="s">
        <v>15</v>
      </c>
      <c r="D111" s="28" t="s">
        <v>19</v>
      </c>
      <c r="E111" s="28" t="s">
        <v>61</v>
      </c>
      <c r="G111" s="28">
        <v>0.28000000000000003</v>
      </c>
      <c r="H111">
        <v>1350</v>
      </c>
      <c r="I111" s="61">
        <v>0.3</v>
      </c>
      <c r="J111" t="s">
        <v>35</v>
      </c>
      <c r="K111">
        <v>6.1500000000000021</v>
      </c>
      <c r="L111">
        <v>2.588E-2</v>
      </c>
      <c r="M111">
        <v>1.0000000000000009E-3</v>
      </c>
      <c r="N111">
        <v>1.0000000000000009E-2</v>
      </c>
      <c r="O111" s="2" t="s">
        <v>228</v>
      </c>
      <c r="P111" t="s">
        <v>65</v>
      </c>
      <c r="Q111" s="19" t="str">
        <f>Tableau1[[#This Row],[Voie de transport]]&amp;Tableau1[[#This Row],[Type de chargement]]</f>
        <v>Voie navigable VaVrac</v>
      </c>
      <c r="R111" s="19" t="str">
        <f>Tableau1[[#This Row],[Voie X Fret]]&amp;Tableau1[[#This Row],[Densité de chargement ]]</f>
        <v>Voie navigable VaVracMoyen</v>
      </c>
    </row>
    <row r="112" spans="1:18" x14ac:dyDescent="0.3">
      <c r="A112" t="s">
        <v>52</v>
      </c>
      <c r="B112" t="s">
        <v>62</v>
      </c>
      <c r="C112" t="s">
        <v>15</v>
      </c>
      <c r="D112" t="s">
        <v>19</v>
      </c>
      <c r="E112" t="s">
        <v>61</v>
      </c>
      <c r="G112">
        <v>0.36</v>
      </c>
      <c r="H112">
        <v>1350</v>
      </c>
      <c r="I112" s="61">
        <v>0.3</v>
      </c>
      <c r="J112" t="s">
        <v>35</v>
      </c>
      <c r="K112">
        <v>8.0400000000000027</v>
      </c>
      <c r="L112">
        <v>3.3850000000000005E-2</v>
      </c>
      <c r="M112">
        <v>9.9999999999999915E-4</v>
      </c>
      <c r="N112">
        <v>1.0000000000000009E-2</v>
      </c>
      <c r="O112" s="2" t="s">
        <v>228</v>
      </c>
      <c r="P112" t="s">
        <v>65</v>
      </c>
      <c r="Q112" s="19" t="str">
        <f>Tableau1[[#This Row],[Voie de transport]]&amp;Tableau1[[#This Row],[Type de chargement]]</f>
        <v>Voie navigable VIbVrac</v>
      </c>
      <c r="R112" s="19" t="str">
        <f>Tableau1[[#This Row],[Voie X Fret]]&amp;Tableau1[[#This Row],[Densité de chargement ]]</f>
        <v>Voie navigable VIbVracMoyen</v>
      </c>
    </row>
    <row r="113" spans="1:18" x14ac:dyDescent="0.3">
      <c r="A113" t="s">
        <v>52</v>
      </c>
      <c r="B113" t="s">
        <v>62</v>
      </c>
      <c r="C113" t="s">
        <v>15</v>
      </c>
      <c r="D113" t="s">
        <v>19</v>
      </c>
      <c r="E113" t="s">
        <v>61</v>
      </c>
      <c r="G113">
        <v>0.36</v>
      </c>
      <c r="H113">
        <v>1350</v>
      </c>
      <c r="I113" s="61">
        <v>0.3</v>
      </c>
      <c r="J113" t="s">
        <v>34</v>
      </c>
      <c r="K113">
        <v>25.27</v>
      </c>
      <c r="L113">
        <v>1.4999999999999999E-4</v>
      </c>
      <c r="M113">
        <v>1.2E-2</v>
      </c>
      <c r="N113">
        <v>0.35</v>
      </c>
      <c r="O113" s="2" t="s">
        <v>228</v>
      </c>
      <c r="P113" t="s">
        <v>65</v>
      </c>
      <c r="Q113" s="19" t="str">
        <f>Tableau1[[#This Row],[Voie de transport]]&amp;Tableau1[[#This Row],[Type de chargement]]</f>
        <v>Voie navigable VIbVrac</v>
      </c>
      <c r="R113" s="19" t="str">
        <f>Tableau1[[#This Row],[Voie X Fret]]&amp;Tableau1[[#This Row],[Densité de chargement ]]</f>
        <v>Voie navigable VIbVracMoyen</v>
      </c>
    </row>
    <row r="114" spans="1:18" x14ac:dyDescent="0.3">
      <c r="A114" t="s">
        <v>52</v>
      </c>
      <c r="B114" s="28" t="s">
        <v>53</v>
      </c>
      <c r="C114" s="28" t="s">
        <v>15</v>
      </c>
      <c r="D114" s="28" t="s">
        <v>19</v>
      </c>
      <c r="E114" s="28" t="s">
        <v>71</v>
      </c>
      <c r="G114">
        <v>0.32</v>
      </c>
      <c r="H114">
        <v>350</v>
      </c>
      <c r="I114" s="61">
        <v>0.3</v>
      </c>
      <c r="J114" t="s">
        <v>35</v>
      </c>
      <c r="K114">
        <v>7.0800000000000018</v>
      </c>
      <c r="L114">
        <v>2.9869999999999997E-2</v>
      </c>
      <c r="M114">
        <v>1.0000000000000009E-3</v>
      </c>
      <c r="N114">
        <v>1.0000000000000009E-2</v>
      </c>
      <c r="O114" s="2" t="s">
        <v>228</v>
      </c>
      <c r="P114" t="s">
        <v>65</v>
      </c>
      <c r="Q114" s="19" t="str">
        <f>Tableau1[[#This Row],[Voie de transport]]&amp;Tableau1[[#This Row],[Type de chargement]]</f>
        <v>Voie navigable VaVrac</v>
      </c>
      <c r="R114" s="19" t="str">
        <f>Tableau1[[#This Row],[Voie X Fret]]&amp;Tableau1[[#This Row],[Densité de chargement ]]</f>
        <v>Voie navigable VaVracMoyen</v>
      </c>
    </row>
    <row r="115" spans="1:18" x14ac:dyDescent="0.3">
      <c r="A115" t="s">
        <v>52</v>
      </c>
      <c r="B115" s="28" t="s">
        <v>53</v>
      </c>
      <c r="C115" s="28" t="s">
        <v>15</v>
      </c>
      <c r="D115" s="28" t="s">
        <v>19</v>
      </c>
      <c r="E115" s="28" t="s">
        <v>71</v>
      </c>
      <c r="G115" s="28">
        <v>0.32</v>
      </c>
      <c r="H115">
        <v>350</v>
      </c>
      <c r="I115" s="61">
        <v>0.3</v>
      </c>
      <c r="J115" t="s">
        <v>34</v>
      </c>
      <c r="K115">
        <v>22.27</v>
      </c>
      <c r="L115">
        <v>1.2999999999999999E-4</v>
      </c>
      <c r="M115">
        <v>1.6E-2</v>
      </c>
      <c r="N115">
        <v>0.32</v>
      </c>
      <c r="O115" s="2" t="s">
        <v>228</v>
      </c>
      <c r="P115" t="s">
        <v>66</v>
      </c>
      <c r="Q115" s="19" t="str">
        <f>Tableau1[[#This Row],[Voie de transport]]&amp;Tableau1[[#This Row],[Type de chargement]]</f>
        <v>Voie navigable VaVrac</v>
      </c>
      <c r="R115" s="19" t="str">
        <f>Tableau1[[#This Row],[Voie X Fret]]&amp;Tableau1[[#This Row],[Densité de chargement ]]</f>
        <v>Voie navigable VaVracMoyen</v>
      </c>
    </row>
    <row r="116" spans="1:18" x14ac:dyDescent="0.3">
      <c r="A116" t="s">
        <v>52</v>
      </c>
      <c r="B116" t="s">
        <v>62</v>
      </c>
      <c r="C116" t="s">
        <v>15</v>
      </c>
      <c r="D116" t="s">
        <v>19</v>
      </c>
      <c r="E116" t="s">
        <v>71</v>
      </c>
      <c r="G116">
        <v>0.36</v>
      </c>
      <c r="H116">
        <v>350</v>
      </c>
      <c r="I116" s="61">
        <v>0.3</v>
      </c>
      <c r="J116" t="s">
        <v>34</v>
      </c>
      <c r="K116">
        <v>24.89</v>
      </c>
      <c r="L116">
        <v>1.4999999999999999E-4</v>
      </c>
      <c r="M116">
        <v>1.7000000000000001E-2</v>
      </c>
      <c r="N116">
        <v>0.36</v>
      </c>
      <c r="O116" s="2" t="s">
        <v>228</v>
      </c>
      <c r="P116" t="s">
        <v>65</v>
      </c>
      <c r="Q116" s="19" t="str">
        <f>Tableau1[[#This Row],[Voie de transport]]&amp;Tableau1[[#This Row],[Type de chargement]]</f>
        <v>Voie navigable VIbVrac</v>
      </c>
      <c r="R116" s="19" t="str">
        <f>Tableau1[[#This Row],[Voie X Fret]]&amp;Tableau1[[#This Row],[Densité de chargement ]]</f>
        <v>Voie navigable VIbVracMoyen</v>
      </c>
    </row>
    <row r="117" spans="1:18" x14ac:dyDescent="0.3">
      <c r="A117" t="s">
        <v>52</v>
      </c>
      <c r="B117" t="s">
        <v>62</v>
      </c>
      <c r="C117" t="s">
        <v>15</v>
      </c>
      <c r="D117" t="s">
        <v>19</v>
      </c>
      <c r="E117" t="s">
        <v>71</v>
      </c>
      <c r="G117">
        <v>0.36</v>
      </c>
      <c r="H117">
        <v>350</v>
      </c>
      <c r="I117" s="61">
        <v>0.3</v>
      </c>
      <c r="J117" t="s">
        <v>35</v>
      </c>
      <c r="K117">
        <v>7.9200000000000017</v>
      </c>
      <c r="L117">
        <v>3.3850000000000005E-2</v>
      </c>
      <c r="M117">
        <v>1.9999999999999983E-3</v>
      </c>
      <c r="N117">
        <v>1.0000000000000009E-2</v>
      </c>
      <c r="O117" s="2" t="s">
        <v>228</v>
      </c>
      <c r="P117" t="s">
        <v>65</v>
      </c>
      <c r="Q117" s="19" t="str">
        <f>Tableau1[[#This Row],[Voie de transport]]&amp;Tableau1[[#This Row],[Type de chargement]]</f>
        <v>Voie navigable VIbVrac</v>
      </c>
      <c r="R117" s="19" t="str">
        <f>Tableau1[[#This Row],[Voie X Fret]]&amp;Tableau1[[#This Row],[Densité de chargement ]]</f>
        <v>Voie navigable VIbVracMoyen</v>
      </c>
    </row>
    <row r="118" spans="1:18" x14ac:dyDescent="0.3">
      <c r="A118" t="s">
        <v>8</v>
      </c>
      <c r="B118" t="s">
        <v>13</v>
      </c>
      <c r="C118" t="s">
        <v>15</v>
      </c>
      <c r="D118" t="s">
        <v>63</v>
      </c>
      <c r="E118" t="s">
        <v>75</v>
      </c>
      <c r="F118">
        <v>543</v>
      </c>
      <c r="G118">
        <v>0.43</v>
      </c>
      <c r="H118">
        <v>945</v>
      </c>
      <c r="I118" s="61">
        <v>0.2</v>
      </c>
      <c r="J118" t="s">
        <v>34</v>
      </c>
      <c r="K118">
        <v>29.5</v>
      </c>
      <c r="L118">
        <v>1.8000000000000001E-4</v>
      </c>
      <c r="M118">
        <f>0.0103+0.0096</f>
        <v>1.9900000000000001E-2</v>
      </c>
      <c r="N118">
        <v>0.42</v>
      </c>
      <c r="O118" s="2" t="s">
        <v>228</v>
      </c>
      <c r="P118" t="s">
        <v>74</v>
      </c>
      <c r="Q118" s="19" t="str">
        <f>Tableau1[[#This Row],[Voie de transport]]&amp;Tableau1[[#This Row],[Type de chargement]]</f>
        <v>Chemin de fer Vrac</v>
      </c>
      <c r="R118" s="19" t="str">
        <f>Tableau1[[#This Row],[Voie X Fret]]&amp;Tableau1[[#This Row],[Densité de chargement ]]</f>
        <v>Chemin de fer VracLéger</v>
      </c>
    </row>
    <row r="119" spans="1:18" x14ac:dyDescent="0.3">
      <c r="A119" t="s">
        <v>8</v>
      </c>
      <c r="B119" t="s">
        <v>13</v>
      </c>
      <c r="C119" t="s">
        <v>15</v>
      </c>
      <c r="D119" t="s">
        <v>19</v>
      </c>
      <c r="E119" t="s">
        <v>75</v>
      </c>
      <c r="F119">
        <v>508</v>
      </c>
      <c r="G119">
        <v>0.21</v>
      </c>
      <c r="H119">
        <v>1715</v>
      </c>
      <c r="I119" s="61">
        <v>0.4</v>
      </c>
      <c r="J119" t="s">
        <v>34</v>
      </c>
      <c r="K119">
        <v>14.4</v>
      </c>
      <c r="L119">
        <v>9.0000000000000006E-5</v>
      </c>
      <c r="M119">
        <f>0.0047+0.0049</f>
        <v>9.6000000000000009E-3</v>
      </c>
      <c r="N119">
        <v>0.2</v>
      </c>
      <c r="O119" s="2" t="s">
        <v>228</v>
      </c>
      <c r="P119" t="s">
        <v>74</v>
      </c>
      <c r="Q119" s="19" t="str">
        <f>Tableau1[[#This Row],[Voie de transport]]&amp;Tableau1[[#This Row],[Type de chargement]]</f>
        <v>Chemin de fer Vrac</v>
      </c>
      <c r="R119" s="19" t="str">
        <f>Tableau1[[#This Row],[Voie X Fret]]&amp;Tableau1[[#This Row],[Densité de chargement ]]</f>
        <v>Chemin de fer VracMoyen</v>
      </c>
    </row>
    <row r="120" spans="1:18" x14ac:dyDescent="0.3">
      <c r="A120" t="s">
        <v>8</v>
      </c>
      <c r="B120" t="s">
        <v>13</v>
      </c>
      <c r="C120" t="s">
        <v>15</v>
      </c>
      <c r="D120" t="s">
        <v>72</v>
      </c>
      <c r="E120" t="s">
        <v>75</v>
      </c>
      <c r="F120">
        <v>498</v>
      </c>
      <c r="G120">
        <v>0.18</v>
      </c>
      <c r="H120">
        <v>2485</v>
      </c>
      <c r="I120" s="61">
        <v>0.45</v>
      </c>
      <c r="J120" t="s">
        <v>34</v>
      </c>
      <c r="K120">
        <v>12.6</v>
      </c>
      <c r="L120">
        <v>0</v>
      </c>
      <c r="M120">
        <v>4.4099999999999999E-3</v>
      </c>
      <c r="N120">
        <v>0.17979999999999999</v>
      </c>
      <c r="O120" s="2" t="s">
        <v>228</v>
      </c>
      <c r="P120" t="s">
        <v>74</v>
      </c>
      <c r="Q120" s="19" t="str">
        <f>Tableau1[[#This Row],[Voie de transport]]&amp;Tableau1[[#This Row],[Type de chargement]]</f>
        <v>Chemin de fer Vrac</v>
      </c>
      <c r="R120" s="19" t="str">
        <f>Tableau1[[#This Row],[Voie X Fret]]&amp;Tableau1[[#This Row],[Densité de chargement ]]</f>
        <v>Chemin de fer VracLourd</v>
      </c>
    </row>
    <row r="121" spans="1:18" x14ac:dyDescent="0.3">
      <c r="A121" t="s">
        <v>8</v>
      </c>
      <c r="B121" t="s">
        <v>13</v>
      </c>
      <c r="C121" t="s">
        <v>16</v>
      </c>
      <c r="D121" t="s">
        <v>72</v>
      </c>
      <c r="E121" t="s">
        <v>75</v>
      </c>
      <c r="F121" s="18">
        <v>650</v>
      </c>
      <c r="G121">
        <v>0.22</v>
      </c>
      <c r="H121">
        <v>96</v>
      </c>
      <c r="I121" s="61">
        <v>0.2</v>
      </c>
      <c r="J121" t="s">
        <v>76</v>
      </c>
      <c r="K121">
        <v>15</v>
      </c>
      <c r="L121">
        <v>9.0000000000000006E-5</v>
      </c>
      <c r="M121">
        <f>0.0049+0.0051</f>
        <v>0.01</v>
      </c>
      <c r="N121">
        <v>0.21</v>
      </c>
      <c r="O121" s="2" t="s">
        <v>228</v>
      </c>
      <c r="P121" t="s">
        <v>74</v>
      </c>
      <c r="Q121" s="19" t="str">
        <f>Tableau1[[#This Row],[Voie de transport]]&amp;Tableau1[[#This Row],[Type de chargement]]</f>
        <v>Chemin de fer conteneur</v>
      </c>
      <c r="R121" s="19" t="str">
        <f>Tableau1[[#This Row],[Voie X Fret]]&amp;Tableau1[[#This Row],[Densité de chargement ]]</f>
        <v>Chemin de fer conteneurLourd</v>
      </c>
    </row>
    <row r="122" spans="1:18" x14ac:dyDescent="0.3">
      <c r="A122" t="s">
        <v>8</v>
      </c>
      <c r="B122" t="s">
        <v>13</v>
      </c>
      <c r="C122" t="s">
        <v>16</v>
      </c>
      <c r="D122" t="s">
        <v>19</v>
      </c>
      <c r="E122" t="s">
        <v>75</v>
      </c>
      <c r="F122" s="18">
        <v>626</v>
      </c>
      <c r="G122">
        <v>0.28999999999999998</v>
      </c>
      <c r="H122">
        <v>90</v>
      </c>
      <c r="I122" s="61">
        <v>0.2</v>
      </c>
      <c r="J122" t="s">
        <v>76</v>
      </c>
      <c r="K122">
        <v>20.3</v>
      </c>
      <c r="L122">
        <v>1.2999999999999999E-4</v>
      </c>
      <c r="M122">
        <f>0.0066+0.0069</f>
        <v>1.35E-2</v>
      </c>
      <c r="N122">
        <v>0.28999999999999998</v>
      </c>
      <c r="O122" s="2" t="s">
        <v>228</v>
      </c>
      <c r="P122" t="s">
        <v>74</v>
      </c>
      <c r="Q122" s="19" t="str">
        <f>Tableau1[[#This Row],[Voie de transport]]&amp;Tableau1[[#This Row],[Type de chargement]]</f>
        <v>Chemin de fer conteneur</v>
      </c>
      <c r="R122" s="19" t="str">
        <f>Tableau1[[#This Row],[Voie X Fret]]&amp;Tableau1[[#This Row],[Densité de chargement ]]</f>
        <v>Chemin de fer conteneurMoyen</v>
      </c>
    </row>
    <row r="123" spans="1:18" x14ac:dyDescent="0.3">
      <c r="A123" t="s">
        <v>8</v>
      </c>
      <c r="B123" t="s">
        <v>13</v>
      </c>
      <c r="C123" t="s">
        <v>15</v>
      </c>
      <c r="D123" t="s">
        <v>63</v>
      </c>
      <c r="E123" t="s">
        <v>22</v>
      </c>
      <c r="F123">
        <v>543</v>
      </c>
      <c r="G123">
        <v>0.16</v>
      </c>
      <c r="H123">
        <v>945</v>
      </c>
      <c r="I123" s="61">
        <v>0.2</v>
      </c>
      <c r="J123" t="s">
        <v>34</v>
      </c>
      <c r="K123">
        <v>0</v>
      </c>
      <c r="L123">
        <v>0</v>
      </c>
      <c r="M123">
        <v>8.6E-3</v>
      </c>
      <c r="N123">
        <v>0</v>
      </c>
      <c r="O123" s="2" t="s">
        <v>228</v>
      </c>
      <c r="P123" t="s">
        <v>74</v>
      </c>
      <c r="Q123" s="19" t="str">
        <f>Tableau1[[#This Row],[Voie de transport]]&amp;Tableau1[[#This Row],[Type de chargement]]</f>
        <v>Chemin de fer Vrac</v>
      </c>
      <c r="R123" s="19" t="str">
        <f>Tableau1[[#This Row],[Voie X Fret]]&amp;Tableau1[[#This Row],[Densité de chargement ]]</f>
        <v>Chemin de fer VracLéger</v>
      </c>
    </row>
    <row r="124" spans="1:18" x14ac:dyDescent="0.3">
      <c r="A124" t="s">
        <v>8</v>
      </c>
      <c r="B124" t="s">
        <v>13</v>
      </c>
      <c r="C124" t="s">
        <v>15</v>
      </c>
      <c r="D124" t="s">
        <v>19</v>
      </c>
      <c r="E124" t="s">
        <v>22</v>
      </c>
      <c r="F124">
        <v>508</v>
      </c>
      <c r="G124">
        <v>0.08</v>
      </c>
      <c r="H124">
        <v>1715</v>
      </c>
      <c r="I124" s="61">
        <v>0.4</v>
      </c>
      <c r="J124" t="s">
        <v>34</v>
      </c>
      <c r="K124">
        <v>0</v>
      </c>
      <c r="L124">
        <v>0</v>
      </c>
      <c r="M124">
        <v>5.0000000000000001E-3</v>
      </c>
      <c r="N124">
        <v>0</v>
      </c>
      <c r="O124" s="2" t="s">
        <v>228</v>
      </c>
      <c r="P124" t="s">
        <v>74</v>
      </c>
      <c r="Q124" s="19" t="str">
        <f>Tableau1[[#This Row],[Voie de transport]]&amp;Tableau1[[#This Row],[Type de chargement]]</f>
        <v>Chemin de fer Vrac</v>
      </c>
      <c r="R124" s="19" t="str">
        <f>Tableau1[[#This Row],[Voie X Fret]]&amp;Tableau1[[#This Row],[Densité de chargement ]]</f>
        <v>Chemin de fer VracMoyen</v>
      </c>
    </row>
    <row r="125" spans="1:18" x14ac:dyDescent="0.3">
      <c r="A125" t="s">
        <v>8</v>
      </c>
      <c r="B125" t="s">
        <v>13</v>
      </c>
      <c r="C125" t="s">
        <v>15</v>
      </c>
      <c r="D125" t="s">
        <v>72</v>
      </c>
      <c r="E125" t="s">
        <v>22</v>
      </c>
      <c r="F125">
        <v>498</v>
      </c>
      <c r="G125">
        <v>7.0000000000000007E-2</v>
      </c>
      <c r="H125">
        <v>2485</v>
      </c>
      <c r="I125" s="61">
        <v>0.45</v>
      </c>
      <c r="J125" t="s">
        <v>34</v>
      </c>
      <c r="K125">
        <v>0</v>
      </c>
      <c r="L125">
        <v>0</v>
      </c>
      <c r="M125">
        <v>0</v>
      </c>
      <c r="N125">
        <v>0</v>
      </c>
      <c r="O125" s="2" t="s">
        <v>228</v>
      </c>
      <c r="P125" t="s">
        <v>74</v>
      </c>
      <c r="Q125" s="19" t="str">
        <f>Tableau1[[#This Row],[Voie de transport]]&amp;Tableau1[[#This Row],[Type de chargement]]</f>
        <v>Chemin de fer Vrac</v>
      </c>
      <c r="R125" s="19" t="str">
        <f>Tableau1[[#This Row],[Voie X Fret]]&amp;Tableau1[[#This Row],[Densité de chargement ]]</f>
        <v>Chemin de fer VracLourd</v>
      </c>
    </row>
    <row r="126" spans="1:18" x14ac:dyDescent="0.3">
      <c r="A126" t="s">
        <v>8</v>
      </c>
      <c r="B126" t="s">
        <v>13</v>
      </c>
      <c r="C126" t="s">
        <v>16</v>
      </c>
      <c r="D126" t="s">
        <v>72</v>
      </c>
      <c r="E126" t="s">
        <v>22</v>
      </c>
      <c r="F126" s="18">
        <v>650</v>
      </c>
      <c r="G126">
        <v>0.08</v>
      </c>
      <c r="H126">
        <v>96</v>
      </c>
      <c r="I126" s="61">
        <v>0.2</v>
      </c>
      <c r="J126" t="s">
        <v>76</v>
      </c>
      <c r="K126">
        <v>0</v>
      </c>
      <c r="L126">
        <v>0</v>
      </c>
      <c r="M126">
        <v>5.1999999999999998E-3</v>
      </c>
      <c r="N126">
        <v>0</v>
      </c>
      <c r="O126" s="2" t="s">
        <v>228</v>
      </c>
      <c r="P126" t="s">
        <v>74</v>
      </c>
      <c r="Q126" s="19" t="str">
        <f>Tableau1[[#This Row],[Voie de transport]]&amp;Tableau1[[#This Row],[Type de chargement]]</f>
        <v>Chemin de fer conteneur</v>
      </c>
      <c r="R126" s="19" t="str">
        <f>Tableau1[[#This Row],[Voie X Fret]]&amp;Tableau1[[#This Row],[Densité de chargement ]]</f>
        <v>Chemin de fer conteneurLourd</v>
      </c>
    </row>
    <row r="127" spans="1:18" x14ac:dyDescent="0.3">
      <c r="A127" t="s">
        <v>8</v>
      </c>
      <c r="B127" t="s">
        <v>13</v>
      </c>
      <c r="C127" t="s">
        <v>16</v>
      </c>
      <c r="D127" t="s">
        <v>19</v>
      </c>
      <c r="E127" t="s">
        <v>22</v>
      </c>
      <c r="F127" s="18">
        <v>626</v>
      </c>
      <c r="G127">
        <v>0.11</v>
      </c>
      <c r="H127">
        <v>90</v>
      </c>
      <c r="I127" s="61">
        <v>0.2</v>
      </c>
      <c r="J127" t="s">
        <v>76</v>
      </c>
      <c r="K127">
        <v>0</v>
      </c>
      <c r="L127">
        <v>0</v>
      </c>
      <c r="M127">
        <v>7.0000000000000001E-3</v>
      </c>
      <c r="N127">
        <v>0</v>
      </c>
      <c r="O127" s="2" t="s">
        <v>228</v>
      </c>
      <c r="P127" t="s">
        <v>74</v>
      </c>
      <c r="Q127" s="19" t="str">
        <f>Tableau1[[#This Row],[Voie de transport]]&amp;Tableau1[[#This Row],[Type de chargement]]</f>
        <v>Chemin de fer conteneur</v>
      </c>
      <c r="R127" s="19" t="str">
        <f>Tableau1[[#This Row],[Voie X Fret]]&amp;Tableau1[[#This Row],[Densité de chargement ]]</f>
        <v>Chemin de fer conteneurMoyen</v>
      </c>
    </row>
    <row r="128" spans="1:18" x14ac:dyDescent="0.3">
      <c r="A128" t="s">
        <v>8</v>
      </c>
      <c r="B128" t="s">
        <v>13</v>
      </c>
      <c r="C128" t="s">
        <v>15</v>
      </c>
      <c r="D128" t="s">
        <v>63</v>
      </c>
      <c r="E128" t="s">
        <v>75</v>
      </c>
      <c r="F128">
        <v>543</v>
      </c>
      <c r="G128">
        <v>0.43</v>
      </c>
      <c r="H128">
        <v>945</v>
      </c>
      <c r="I128" s="61">
        <v>0.2</v>
      </c>
      <c r="J128" t="s">
        <v>35</v>
      </c>
      <c r="K128">
        <v>9.5</v>
      </c>
      <c r="L128">
        <v>3.9820000000000001E-2</v>
      </c>
      <c r="M128">
        <v>1.5399999999999997E-3</v>
      </c>
      <c r="N128">
        <v>1.4000000000000012E-2</v>
      </c>
      <c r="O128" s="2" t="s">
        <v>228</v>
      </c>
      <c r="P128" t="s">
        <v>74</v>
      </c>
      <c r="Q128" s="19" t="str">
        <f>Tableau1[[#This Row],[Voie de transport]]&amp;Tableau1[[#This Row],[Type de chargement]]</f>
        <v>Chemin de fer Vrac</v>
      </c>
      <c r="R128" s="19" t="str">
        <f>Tableau1[[#This Row],[Voie X Fret]]&amp;Tableau1[[#This Row],[Densité de chargement ]]</f>
        <v>Chemin de fer VracLéger</v>
      </c>
    </row>
    <row r="129" spans="1:18" x14ac:dyDescent="0.3">
      <c r="A129" t="s">
        <v>8</v>
      </c>
      <c r="B129" t="s">
        <v>13</v>
      </c>
      <c r="C129" t="s">
        <v>15</v>
      </c>
      <c r="D129" t="s">
        <v>19</v>
      </c>
      <c r="E129" t="s">
        <v>75</v>
      </c>
      <c r="F129">
        <v>508</v>
      </c>
      <c r="G129">
        <v>0.21</v>
      </c>
      <c r="H129">
        <v>1715</v>
      </c>
      <c r="I129" s="61">
        <v>0.4</v>
      </c>
      <c r="J129" t="s">
        <v>35</v>
      </c>
      <c r="K129">
        <v>4.5999999999999996</v>
      </c>
      <c r="L129">
        <v>1.9910000000000001E-2</v>
      </c>
      <c r="M129">
        <v>7.2000000000000015E-4</v>
      </c>
      <c r="N129">
        <v>1.1599999999999999E-2</v>
      </c>
      <c r="O129" s="2" t="s">
        <v>228</v>
      </c>
      <c r="P129" t="s">
        <v>74</v>
      </c>
      <c r="Q129" s="19" t="str">
        <f>Tableau1[[#This Row],[Voie de transport]]&amp;Tableau1[[#This Row],[Type de chargement]]</f>
        <v>Chemin de fer Vrac</v>
      </c>
      <c r="R129" s="19" t="str">
        <f>Tableau1[[#This Row],[Voie X Fret]]&amp;Tableau1[[#This Row],[Densité de chargement ]]</f>
        <v>Chemin de fer VracMoyen</v>
      </c>
    </row>
    <row r="130" spans="1:18" x14ac:dyDescent="0.3">
      <c r="A130" t="s">
        <v>8</v>
      </c>
      <c r="B130" t="s">
        <v>13</v>
      </c>
      <c r="C130" t="s">
        <v>15</v>
      </c>
      <c r="D130" t="s">
        <v>72</v>
      </c>
      <c r="E130" t="s">
        <v>75</v>
      </c>
      <c r="F130">
        <v>498</v>
      </c>
      <c r="G130">
        <v>0.18</v>
      </c>
      <c r="H130">
        <v>2485</v>
      </c>
      <c r="I130" s="61">
        <v>0.45</v>
      </c>
      <c r="J130" t="s">
        <v>35</v>
      </c>
      <c r="K130">
        <v>4.0999999999999996</v>
      </c>
      <c r="L130">
        <v>1.7000000000000001E-2</v>
      </c>
      <c r="M130">
        <v>6.6E-4</v>
      </c>
      <c r="N130">
        <v>6.0000000000000053E-3</v>
      </c>
      <c r="O130" s="2" t="s">
        <v>228</v>
      </c>
      <c r="P130" t="s">
        <v>74</v>
      </c>
      <c r="Q130" s="19" t="str">
        <f>Tableau1[[#This Row],[Voie de transport]]&amp;Tableau1[[#This Row],[Type de chargement]]</f>
        <v>Chemin de fer Vrac</v>
      </c>
      <c r="R130" s="19" t="str">
        <f>Tableau1[[#This Row],[Voie X Fret]]&amp;Tableau1[[#This Row],[Densité de chargement ]]</f>
        <v>Chemin de fer VracLourd</v>
      </c>
    </row>
    <row r="131" spans="1:18" x14ac:dyDescent="0.3">
      <c r="A131" t="s">
        <v>8</v>
      </c>
      <c r="B131" t="s">
        <v>13</v>
      </c>
      <c r="C131" t="s">
        <v>16</v>
      </c>
      <c r="D131" t="s">
        <v>72</v>
      </c>
      <c r="E131" t="s">
        <v>75</v>
      </c>
      <c r="F131" s="18">
        <v>650</v>
      </c>
      <c r="G131">
        <v>0.22</v>
      </c>
      <c r="H131">
        <v>96</v>
      </c>
      <c r="I131" s="61">
        <v>0.2</v>
      </c>
      <c r="J131" t="s">
        <v>36</v>
      </c>
      <c r="K131">
        <v>4.8000000000000007</v>
      </c>
      <c r="L131">
        <v>2.0910000000000002E-2</v>
      </c>
      <c r="M131">
        <v>7.499999999999998E-4</v>
      </c>
      <c r="N131">
        <v>1.0500000000000009E-2</v>
      </c>
      <c r="O131" s="2" t="s">
        <v>228</v>
      </c>
      <c r="P131" t="s">
        <v>74</v>
      </c>
      <c r="Q131" s="19" t="str">
        <f>Tableau1[[#This Row],[Voie de transport]]&amp;Tableau1[[#This Row],[Type de chargement]]</f>
        <v>Chemin de fer conteneur</v>
      </c>
      <c r="R131" s="19" t="str">
        <f>Tableau1[[#This Row],[Voie X Fret]]&amp;Tableau1[[#This Row],[Densité de chargement ]]</f>
        <v>Chemin de fer conteneurLourd</v>
      </c>
    </row>
    <row r="132" spans="1:18" x14ac:dyDescent="0.3">
      <c r="A132" t="s">
        <v>8</v>
      </c>
      <c r="B132" t="s">
        <v>13</v>
      </c>
      <c r="C132" t="s">
        <v>16</v>
      </c>
      <c r="D132" t="s">
        <v>19</v>
      </c>
      <c r="E132" t="s">
        <v>75</v>
      </c>
      <c r="F132" s="18">
        <v>626</v>
      </c>
      <c r="G132">
        <v>0.28999999999999998</v>
      </c>
      <c r="H132">
        <v>90</v>
      </c>
      <c r="I132" s="61">
        <v>0.2</v>
      </c>
      <c r="J132" t="s">
        <v>36</v>
      </c>
      <c r="K132">
        <v>6.5</v>
      </c>
      <c r="L132">
        <v>2.7869999999999999E-2</v>
      </c>
      <c r="M132">
        <v>1.0299999999999997E-3</v>
      </c>
      <c r="N132">
        <v>7.9000000000000181E-3</v>
      </c>
      <c r="O132" s="2" t="s">
        <v>228</v>
      </c>
      <c r="P132" t="s">
        <v>74</v>
      </c>
      <c r="Q132" s="19" t="str">
        <f>Tableau1[[#This Row],[Voie de transport]]&amp;Tableau1[[#This Row],[Type de chargement]]</f>
        <v>Chemin de fer conteneur</v>
      </c>
      <c r="R132" s="19" t="str">
        <f>Tableau1[[#This Row],[Voie X Fret]]&amp;Tableau1[[#This Row],[Densité de chargement ]]</f>
        <v>Chemin de fer conteneurMoyen</v>
      </c>
    </row>
    <row r="133" spans="1:18" x14ac:dyDescent="0.3">
      <c r="A133" t="s">
        <v>8</v>
      </c>
      <c r="B133" t="s">
        <v>13</v>
      </c>
      <c r="C133" t="s">
        <v>15</v>
      </c>
      <c r="D133" t="s">
        <v>63</v>
      </c>
      <c r="E133" t="s">
        <v>22</v>
      </c>
      <c r="F133">
        <v>543</v>
      </c>
      <c r="G133">
        <v>0.16</v>
      </c>
      <c r="H133">
        <v>945</v>
      </c>
      <c r="I133" s="61">
        <v>0.2</v>
      </c>
      <c r="J133" t="s">
        <v>35</v>
      </c>
      <c r="K133">
        <v>21.3</v>
      </c>
      <c r="L133">
        <v>7.6999999999999999E-2</v>
      </c>
      <c r="M133">
        <v>7.2999999999999996E-4</v>
      </c>
      <c r="N133">
        <v>1.5800000000000002E-2</v>
      </c>
      <c r="O133" s="2" t="s">
        <v>228</v>
      </c>
      <c r="P133" t="s">
        <v>74</v>
      </c>
      <c r="Q133" s="19" t="str">
        <f>Tableau1[[#This Row],[Voie de transport]]&amp;Tableau1[[#This Row],[Type de chargement]]</f>
        <v>Chemin de fer Vrac</v>
      </c>
      <c r="R133" s="19" t="str">
        <f>Tableau1[[#This Row],[Voie X Fret]]&amp;Tableau1[[#This Row],[Densité de chargement ]]</f>
        <v>Chemin de fer VracLéger</v>
      </c>
    </row>
    <row r="134" spans="1:18" x14ac:dyDescent="0.3">
      <c r="A134" t="s">
        <v>8</v>
      </c>
      <c r="B134" t="s">
        <v>13</v>
      </c>
      <c r="C134" t="s">
        <v>15</v>
      </c>
      <c r="D134" t="s">
        <v>19</v>
      </c>
      <c r="E134" t="s">
        <v>22</v>
      </c>
      <c r="F134">
        <v>508</v>
      </c>
      <c r="G134">
        <v>0.08</v>
      </c>
      <c r="H134">
        <v>1715</v>
      </c>
      <c r="I134" s="61">
        <v>0.4</v>
      </c>
      <c r="J134" t="s">
        <v>35</v>
      </c>
      <c r="K134">
        <v>10.4</v>
      </c>
      <c r="L134">
        <v>3.0000000000000001E-3</v>
      </c>
      <c r="M134">
        <v>3.5E-4</v>
      </c>
      <c r="N134">
        <v>7.4000000000000003E-3</v>
      </c>
      <c r="O134" s="2" t="s">
        <v>228</v>
      </c>
      <c r="P134" t="s">
        <v>74</v>
      </c>
      <c r="Q134" s="19" t="str">
        <f>Tableau1[[#This Row],[Voie de transport]]&amp;Tableau1[[#This Row],[Type de chargement]]</f>
        <v>Chemin de fer Vrac</v>
      </c>
      <c r="R134" s="19" t="str">
        <f>Tableau1[[#This Row],[Voie X Fret]]&amp;Tableau1[[#This Row],[Densité de chargement ]]</f>
        <v>Chemin de fer VracMoyen</v>
      </c>
    </row>
    <row r="135" spans="1:18" x14ac:dyDescent="0.3">
      <c r="A135" t="s">
        <v>8</v>
      </c>
      <c r="B135" t="s">
        <v>13</v>
      </c>
      <c r="C135" t="s">
        <v>15</v>
      </c>
      <c r="D135" t="s">
        <v>72</v>
      </c>
      <c r="E135" t="s">
        <v>22</v>
      </c>
      <c r="F135">
        <v>498</v>
      </c>
      <c r="G135">
        <v>7.0000000000000007E-2</v>
      </c>
      <c r="H135">
        <v>2485</v>
      </c>
      <c r="I135" s="61">
        <v>0.45</v>
      </c>
      <c r="J135" t="s">
        <v>35</v>
      </c>
      <c r="K135">
        <v>9.1</v>
      </c>
      <c r="L135">
        <v>3.3000000000000002E-2</v>
      </c>
      <c r="M135">
        <v>3.1E-4</v>
      </c>
      <c r="N135">
        <v>6.7999999999999996E-3</v>
      </c>
      <c r="O135" s="2" t="s">
        <v>228</v>
      </c>
      <c r="P135" t="s">
        <v>74</v>
      </c>
      <c r="Q135" s="19" t="str">
        <f>Tableau1[[#This Row],[Voie de transport]]&amp;Tableau1[[#This Row],[Type de chargement]]</f>
        <v>Chemin de fer Vrac</v>
      </c>
      <c r="R135" s="19" t="str">
        <f>Tableau1[[#This Row],[Voie X Fret]]&amp;Tableau1[[#This Row],[Densité de chargement ]]</f>
        <v>Chemin de fer VracLourd</v>
      </c>
    </row>
    <row r="136" spans="1:18" x14ac:dyDescent="0.3">
      <c r="A136" t="s">
        <v>8</v>
      </c>
      <c r="B136" t="s">
        <v>13</v>
      </c>
      <c r="C136" t="s">
        <v>16</v>
      </c>
      <c r="D136" t="s">
        <v>72</v>
      </c>
      <c r="E136" t="s">
        <v>22</v>
      </c>
      <c r="F136" s="18">
        <v>650</v>
      </c>
      <c r="G136">
        <v>0.08</v>
      </c>
      <c r="H136">
        <v>96</v>
      </c>
      <c r="I136" s="61">
        <v>0.2</v>
      </c>
      <c r="J136" t="s">
        <v>36</v>
      </c>
      <c r="K136">
        <v>10.8</v>
      </c>
      <c r="L136">
        <v>3.0000000000000001E-3</v>
      </c>
      <c r="M136">
        <v>3.6999999999999999E-4</v>
      </c>
      <c r="N136">
        <v>7.7000000000000002E-3</v>
      </c>
      <c r="O136" s="2" t="s">
        <v>228</v>
      </c>
      <c r="P136" t="s">
        <v>74</v>
      </c>
      <c r="Q136" s="19" t="str">
        <f>Tableau1[[#This Row],[Voie de transport]]&amp;Tableau1[[#This Row],[Type de chargement]]</f>
        <v>Chemin de fer conteneur</v>
      </c>
      <c r="R136" s="19" t="str">
        <f>Tableau1[[#This Row],[Voie X Fret]]&amp;Tableau1[[#This Row],[Densité de chargement ]]</f>
        <v>Chemin de fer conteneurLourd</v>
      </c>
    </row>
    <row r="137" spans="1:18" x14ac:dyDescent="0.3">
      <c r="A137" t="s">
        <v>8</v>
      </c>
      <c r="B137" t="s">
        <v>13</v>
      </c>
      <c r="C137" t="s">
        <v>16</v>
      </c>
      <c r="D137" t="s">
        <v>19</v>
      </c>
      <c r="E137" t="s">
        <v>22</v>
      </c>
      <c r="F137" s="18">
        <v>626</v>
      </c>
      <c r="G137">
        <v>0.11</v>
      </c>
      <c r="H137">
        <v>90</v>
      </c>
      <c r="I137" s="61">
        <v>0.2</v>
      </c>
      <c r="J137" t="s">
        <v>36</v>
      </c>
      <c r="K137">
        <v>14.6</v>
      </c>
      <c r="L137">
        <v>4.0000000000000001E-3</v>
      </c>
      <c r="M137">
        <v>5.0000000000000001E-4</v>
      </c>
      <c r="N137">
        <v>1.04E-2</v>
      </c>
      <c r="O137" s="2" t="s">
        <v>228</v>
      </c>
      <c r="P137" t="s">
        <v>74</v>
      </c>
      <c r="Q137" s="19" t="str">
        <f>Tableau1[[#This Row],[Voie de transport]]&amp;Tableau1[[#This Row],[Type de chargement]]</f>
        <v>Chemin de fer conteneur</v>
      </c>
      <c r="R137" s="19" t="str">
        <f>Tableau1[[#This Row],[Voie X Fret]]&amp;Tableau1[[#This Row],[Densité de chargement ]]</f>
        <v>Chemin de fer conteneurMoyen</v>
      </c>
    </row>
    <row r="138" spans="1:18" x14ac:dyDescent="0.3">
      <c r="A138" t="s">
        <v>9</v>
      </c>
      <c r="B138" t="s">
        <v>14</v>
      </c>
      <c r="C138" t="s">
        <v>15</v>
      </c>
      <c r="D138" t="s">
        <v>63</v>
      </c>
      <c r="E138" t="s">
        <v>78</v>
      </c>
      <c r="F138" s="2"/>
      <c r="G138">
        <v>16.100000000000001</v>
      </c>
      <c r="H138">
        <v>1</v>
      </c>
      <c r="I138" s="61">
        <v>0.73</v>
      </c>
      <c r="J138" t="s">
        <v>35</v>
      </c>
      <c r="K138">
        <v>356.5</v>
      </c>
      <c r="L138">
        <v>1524.9933000000001</v>
      </c>
      <c r="M138">
        <v>5.7000000000000009E-2</v>
      </c>
      <c r="N138">
        <v>0.53299999999999947</v>
      </c>
      <c r="O138" s="2" t="s">
        <v>228</v>
      </c>
      <c r="P138" t="s">
        <v>79</v>
      </c>
      <c r="Q138" s="19" t="str">
        <f>Tableau1[[#This Row],[Voie de transport]]&amp;Tableau1[[#This Row],[Type de chargement]]</f>
        <v>UrbainVrac</v>
      </c>
      <c r="R138" s="19" t="str">
        <f>Tableau1[[#This Row],[Voie X Fret]]&amp;Tableau1[[#This Row],[Densité de chargement ]]</f>
        <v>UrbainVracLéger</v>
      </c>
    </row>
    <row r="139" spans="1:18" x14ac:dyDescent="0.3">
      <c r="A139" t="s">
        <v>9</v>
      </c>
      <c r="B139" t="s">
        <v>77</v>
      </c>
      <c r="C139" t="s">
        <v>15</v>
      </c>
      <c r="D139" t="s">
        <v>63</v>
      </c>
      <c r="E139" t="s">
        <v>78</v>
      </c>
      <c r="F139" s="2"/>
      <c r="G139">
        <v>12</v>
      </c>
      <c r="H139">
        <v>1</v>
      </c>
      <c r="I139" s="61">
        <v>0.73</v>
      </c>
      <c r="J139" t="s">
        <v>35</v>
      </c>
      <c r="K139">
        <v>265.70000000000005</v>
      </c>
      <c r="L139">
        <v>1136.9949999999999</v>
      </c>
      <c r="M139">
        <v>4.2999999999999997E-2</v>
      </c>
      <c r="N139">
        <v>0.39800000000000013</v>
      </c>
      <c r="O139" s="2" t="s">
        <v>228</v>
      </c>
      <c r="P139" t="s">
        <v>79</v>
      </c>
      <c r="Q139" s="19" t="str">
        <f>Tableau1[[#This Row],[Voie de transport]]&amp;Tableau1[[#This Row],[Type de chargement]]</f>
        <v>RuralVrac</v>
      </c>
      <c r="R139" s="19" t="str">
        <f>Tableau1[[#This Row],[Voie X Fret]]&amp;Tableau1[[#This Row],[Densité de chargement ]]</f>
        <v>RuralVracLéger</v>
      </c>
    </row>
    <row r="140" spans="1:18" x14ac:dyDescent="0.3">
      <c r="A140" t="s">
        <v>9</v>
      </c>
      <c r="B140" t="s">
        <v>80</v>
      </c>
      <c r="C140" t="s">
        <v>15</v>
      </c>
      <c r="D140" t="s">
        <v>63</v>
      </c>
      <c r="E140" t="s">
        <v>78</v>
      </c>
      <c r="F140" s="2"/>
      <c r="G140">
        <v>15.6</v>
      </c>
      <c r="H140">
        <v>1</v>
      </c>
      <c r="I140" s="61">
        <v>0.73</v>
      </c>
      <c r="J140" t="s">
        <v>35</v>
      </c>
      <c r="K140">
        <v>344.59999999999991</v>
      </c>
      <c r="L140">
        <v>1473.9935</v>
      </c>
      <c r="M140">
        <v>5.4999999999999993E-2</v>
      </c>
      <c r="N140">
        <v>0.50999999999999979</v>
      </c>
      <c r="O140" s="2" t="s">
        <v>228</v>
      </c>
      <c r="P140" t="s">
        <v>79</v>
      </c>
      <c r="Q140" s="19" t="str">
        <f>Tableau1[[#This Row],[Voie de transport]]&amp;Tableau1[[#This Row],[Type de chargement]]</f>
        <v>AutorouteVrac</v>
      </c>
      <c r="R140" s="19" t="str">
        <f>Tableau1[[#This Row],[Voie X Fret]]&amp;Tableau1[[#This Row],[Densité de chargement ]]</f>
        <v>AutorouteVracLéger</v>
      </c>
    </row>
    <row r="141" spans="1:18" x14ac:dyDescent="0.3">
      <c r="A141" t="s">
        <v>9</v>
      </c>
      <c r="B141" t="s">
        <v>14</v>
      </c>
      <c r="C141" t="s">
        <v>15</v>
      </c>
      <c r="D141" t="s">
        <v>63</v>
      </c>
      <c r="E141" t="s">
        <v>78</v>
      </c>
      <c r="F141" s="2"/>
      <c r="G141">
        <v>16.100000000000001</v>
      </c>
      <c r="H141">
        <v>1</v>
      </c>
      <c r="I141" s="61">
        <v>0.73</v>
      </c>
      <c r="J141" t="s">
        <v>34</v>
      </c>
      <c r="K141">
        <v>1115.8</v>
      </c>
      <c r="L141">
        <v>6.7000000000000002E-3</v>
      </c>
      <c r="M141">
        <v>0.188</v>
      </c>
      <c r="N141">
        <v>5.0170000000000003</v>
      </c>
      <c r="O141" s="2" t="s">
        <v>228</v>
      </c>
      <c r="P141" t="s">
        <v>79</v>
      </c>
      <c r="Q141" s="19" t="str">
        <f>Tableau1[[#This Row],[Voie de transport]]&amp;Tableau1[[#This Row],[Type de chargement]]</f>
        <v>UrbainVrac</v>
      </c>
      <c r="R141" s="19" t="str">
        <f>Tableau1[[#This Row],[Voie X Fret]]&amp;Tableau1[[#This Row],[Densité de chargement ]]</f>
        <v>UrbainVracLéger</v>
      </c>
    </row>
    <row r="142" spans="1:18" x14ac:dyDescent="0.3">
      <c r="A142" t="s">
        <v>9</v>
      </c>
      <c r="B142" t="s">
        <v>77</v>
      </c>
      <c r="C142" t="s">
        <v>15</v>
      </c>
      <c r="D142" t="s">
        <v>63</v>
      </c>
      <c r="E142" t="s">
        <v>78</v>
      </c>
      <c r="F142" s="2"/>
      <c r="G142">
        <v>12</v>
      </c>
      <c r="H142">
        <v>1</v>
      </c>
      <c r="I142" s="61">
        <v>0.73</v>
      </c>
      <c r="J142" t="s">
        <v>34</v>
      </c>
      <c r="K142">
        <v>831.5</v>
      </c>
      <c r="L142">
        <v>5.0000000000000001E-3</v>
      </c>
      <c r="M142">
        <v>0.10400000000000001</v>
      </c>
      <c r="N142">
        <v>3.722</v>
      </c>
      <c r="O142" s="2" t="s">
        <v>228</v>
      </c>
      <c r="P142" t="s">
        <v>79</v>
      </c>
      <c r="Q142" s="19" t="str">
        <f>Tableau1[[#This Row],[Voie de transport]]&amp;Tableau1[[#This Row],[Type de chargement]]</f>
        <v>RuralVrac</v>
      </c>
      <c r="R142" s="19" t="str">
        <f>Tableau1[[#This Row],[Voie X Fret]]&amp;Tableau1[[#This Row],[Densité de chargement ]]</f>
        <v>RuralVracLéger</v>
      </c>
    </row>
    <row r="143" spans="1:18" x14ac:dyDescent="0.3">
      <c r="A143" t="s">
        <v>9</v>
      </c>
      <c r="B143" t="s">
        <v>80</v>
      </c>
      <c r="C143" t="s">
        <v>15</v>
      </c>
      <c r="D143" t="s">
        <v>63</v>
      </c>
      <c r="E143" t="s">
        <v>78</v>
      </c>
      <c r="F143" s="2"/>
      <c r="G143">
        <v>15.6</v>
      </c>
      <c r="H143">
        <v>1</v>
      </c>
      <c r="I143" s="61">
        <v>0.73</v>
      </c>
      <c r="J143" t="s">
        <v>34</v>
      </c>
      <c r="K143">
        <v>1078.4000000000001</v>
      </c>
      <c r="L143">
        <v>6.4999999999999997E-3</v>
      </c>
      <c r="M143">
        <v>0.158</v>
      </c>
      <c r="N143">
        <v>4.54</v>
      </c>
      <c r="O143" s="2" t="s">
        <v>228</v>
      </c>
      <c r="P143" t="s">
        <v>79</v>
      </c>
      <c r="Q143" s="19" t="str">
        <f>Tableau1[[#This Row],[Voie de transport]]&amp;Tableau1[[#This Row],[Type de chargement]]</f>
        <v>AutorouteVrac</v>
      </c>
      <c r="R143" s="19" t="str">
        <f>Tableau1[[#This Row],[Voie X Fret]]&amp;Tableau1[[#This Row],[Densité de chargement ]]</f>
        <v>AutorouteVracLéger</v>
      </c>
    </row>
    <row r="144" spans="1:18" x14ac:dyDescent="0.3">
      <c r="A144" t="s">
        <v>9</v>
      </c>
      <c r="B144" t="s">
        <v>14</v>
      </c>
      <c r="C144" t="s">
        <v>15</v>
      </c>
      <c r="D144" t="s">
        <v>63</v>
      </c>
      <c r="E144" t="s">
        <v>23</v>
      </c>
      <c r="F144" s="2"/>
      <c r="G144">
        <v>8.9</v>
      </c>
      <c r="H144">
        <v>3</v>
      </c>
      <c r="I144" s="61">
        <v>0.24</v>
      </c>
      <c r="J144" t="s">
        <v>35</v>
      </c>
      <c r="K144">
        <v>197.39999999999998</v>
      </c>
      <c r="L144">
        <v>0.84129999999999994</v>
      </c>
      <c r="M144">
        <v>3.2000000000000001E-2</v>
      </c>
      <c r="N144">
        <v>0.29199999999999982</v>
      </c>
      <c r="O144" s="2" t="s">
        <v>228</v>
      </c>
      <c r="P144" t="s">
        <v>79</v>
      </c>
      <c r="Q144" s="19" t="str">
        <f>Tableau1[[#This Row],[Voie de transport]]&amp;Tableau1[[#This Row],[Type de chargement]]</f>
        <v>UrbainVrac</v>
      </c>
      <c r="R144" s="19" t="str">
        <f>Tableau1[[#This Row],[Voie X Fret]]&amp;Tableau1[[#This Row],[Densité de chargement ]]</f>
        <v>UrbainVracLéger</v>
      </c>
    </row>
    <row r="145" spans="1:18" x14ac:dyDescent="0.3">
      <c r="A145" t="s">
        <v>9</v>
      </c>
      <c r="B145" t="s">
        <v>77</v>
      </c>
      <c r="C145" t="s">
        <v>15</v>
      </c>
      <c r="D145" t="s">
        <v>63</v>
      </c>
      <c r="E145" t="s">
        <v>23</v>
      </c>
      <c r="F145" s="2"/>
      <c r="G145">
        <v>6</v>
      </c>
      <c r="H145">
        <v>3</v>
      </c>
      <c r="I145" s="61">
        <v>0.24</v>
      </c>
      <c r="J145" t="s">
        <v>35</v>
      </c>
      <c r="K145">
        <v>133.69999999999993</v>
      </c>
      <c r="L145">
        <v>0.56950000000000001</v>
      </c>
      <c r="M145">
        <v>2.1999999999999999E-2</v>
      </c>
      <c r="N145">
        <v>0.20300000000000029</v>
      </c>
      <c r="O145" s="2" t="s">
        <v>228</v>
      </c>
      <c r="P145" t="s">
        <v>79</v>
      </c>
      <c r="Q145" s="19" t="str">
        <f>Tableau1[[#This Row],[Voie de transport]]&amp;Tableau1[[#This Row],[Type de chargement]]</f>
        <v>RuralVrac</v>
      </c>
      <c r="R145" s="19" t="str">
        <f>Tableau1[[#This Row],[Voie X Fret]]&amp;Tableau1[[#This Row],[Densité de chargement ]]</f>
        <v>RuralVracLéger</v>
      </c>
    </row>
    <row r="146" spans="1:18" x14ac:dyDescent="0.3">
      <c r="A146" t="s">
        <v>9</v>
      </c>
      <c r="B146" t="s">
        <v>80</v>
      </c>
      <c r="C146" t="s">
        <v>15</v>
      </c>
      <c r="D146" t="s">
        <v>63</v>
      </c>
      <c r="E146" t="s">
        <v>23</v>
      </c>
      <c r="F146" s="2"/>
      <c r="G146">
        <v>5.5</v>
      </c>
      <c r="H146">
        <v>3</v>
      </c>
      <c r="I146" s="61">
        <v>0.24</v>
      </c>
      <c r="J146" t="s">
        <v>35</v>
      </c>
      <c r="K146">
        <v>121.40000000000003</v>
      </c>
      <c r="L146">
        <v>0.51670000000000005</v>
      </c>
      <c r="M146">
        <v>1.9999999999999997E-2</v>
      </c>
      <c r="N146">
        <v>0.17900000000000027</v>
      </c>
      <c r="O146" s="2" t="s">
        <v>228</v>
      </c>
      <c r="P146" t="s">
        <v>79</v>
      </c>
      <c r="Q146" s="19" t="str">
        <f>Tableau1[[#This Row],[Voie de transport]]&amp;Tableau1[[#This Row],[Type de chargement]]</f>
        <v>AutorouteVrac</v>
      </c>
      <c r="R146" s="19" t="str">
        <f>Tableau1[[#This Row],[Voie X Fret]]&amp;Tableau1[[#This Row],[Densité de chargement ]]</f>
        <v>AutorouteVracLéger</v>
      </c>
    </row>
    <row r="147" spans="1:18" x14ac:dyDescent="0.3">
      <c r="A147" t="s">
        <v>9</v>
      </c>
      <c r="B147" t="s">
        <v>14</v>
      </c>
      <c r="C147" t="s">
        <v>15</v>
      </c>
      <c r="D147" t="s">
        <v>63</v>
      </c>
      <c r="E147" t="s">
        <v>23</v>
      </c>
      <c r="F147" s="2"/>
      <c r="G147">
        <v>8.9</v>
      </c>
      <c r="H147">
        <v>3</v>
      </c>
      <c r="I147" s="61">
        <v>0.24</v>
      </c>
      <c r="J147" t="s">
        <v>34</v>
      </c>
      <c r="K147">
        <v>619.5</v>
      </c>
      <c r="L147">
        <v>3.7000000000000002E-3</v>
      </c>
      <c r="M147">
        <v>0.22800000000000001</v>
      </c>
      <c r="N147">
        <v>6.7480000000000002</v>
      </c>
      <c r="O147" s="2" t="s">
        <v>228</v>
      </c>
      <c r="P147" t="s">
        <v>79</v>
      </c>
      <c r="Q147" s="19" t="str">
        <f>Tableau1[[#This Row],[Voie de transport]]&amp;Tableau1[[#This Row],[Type de chargement]]</f>
        <v>UrbainVrac</v>
      </c>
      <c r="R147" s="19" t="str">
        <f>Tableau1[[#This Row],[Voie X Fret]]&amp;Tableau1[[#This Row],[Densité de chargement ]]</f>
        <v>UrbainVracLéger</v>
      </c>
    </row>
    <row r="148" spans="1:18" x14ac:dyDescent="0.3">
      <c r="A148" t="s">
        <v>9</v>
      </c>
      <c r="B148" t="s">
        <v>77</v>
      </c>
      <c r="C148" t="s">
        <v>15</v>
      </c>
      <c r="D148" t="s">
        <v>63</v>
      </c>
      <c r="E148" t="s">
        <v>23</v>
      </c>
      <c r="F148" s="2"/>
      <c r="G148">
        <v>6</v>
      </c>
      <c r="H148">
        <v>3</v>
      </c>
      <c r="I148" s="61">
        <v>0.24</v>
      </c>
      <c r="J148" t="s">
        <v>34</v>
      </c>
      <c r="K148">
        <v>419.6</v>
      </c>
      <c r="L148">
        <v>2.5000000000000001E-3</v>
      </c>
      <c r="M148">
        <v>0.127</v>
      </c>
      <c r="N148">
        <v>4.0869999999999997</v>
      </c>
      <c r="O148" s="2" t="s">
        <v>228</v>
      </c>
      <c r="P148" t="s">
        <v>79</v>
      </c>
      <c r="Q148" s="19" t="str">
        <f>Tableau1[[#This Row],[Voie de transport]]&amp;Tableau1[[#This Row],[Type de chargement]]</f>
        <v>RuralVrac</v>
      </c>
      <c r="R148" s="19" t="str">
        <f>Tableau1[[#This Row],[Voie X Fret]]&amp;Tableau1[[#This Row],[Densité de chargement ]]</f>
        <v>RuralVracLéger</v>
      </c>
    </row>
    <row r="149" spans="1:18" x14ac:dyDescent="0.3">
      <c r="A149" t="s">
        <v>9</v>
      </c>
      <c r="B149" t="s">
        <v>80</v>
      </c>
      <c r="C149" t="s">
        <v>15</v>
      </c>
      <c r="D149" t="s">
        <v>63</v>
      </c>
      <c r="E149" t="s">
        <v>23</v>
      </c>
      <c r="F149" s="2"/>
      <c r="G149">
        <v>5.5</v>
      </c>
      <c r="H149">
        <v>3</v>
      </c>
      <c r="I149" s="61">
        <v>0.24</v>
      </c>
      <c r="J149" t="s">
        <v>34</v>
      </c>
      <c r="K149">
        <v>381.2</v>
      </c>
      <c r="L149">
        <v>2.3E-3</v>
      </c>
      <c r="M149">
        <v>0.128</v>
      </c>
      <c r="N149">
        <v>3.6509999999999998</v>
      </c>
      <c r="O149" s="2" t="s">
        <v>228</v>
      </c>
      <c r="P149" t="s">
        <v>79</v>
      </c>
      <c r="Q149" s="19" t="str">
        <f>Tableau1[[#This Row],[Voie de transport]]&amp;Tableau1[[#This Row],[Type de chargement]]</f>
        <v>AutorouteVrac</v>
      </c>
      <c r="R149" s="19" t="str">
        <f>Tableau1[[#This Row],[Voie X Fret]]&amp;Tableau1[[#This Row],[Densité de chargement ]]</f>
        <v>AutorouteVracLéger</v>
      </c>
    </row>
    <row r="150" spans="1:18" x14ac:dyDescent="0.3">
      <c r="A150" t="s">
        <v>9</v>
      </c>
      <c r="B150" t="s">
        <v>14</v>
      </c>
      <c r="C150" t="s">
        <v>15</v>
      </c>
      <c r="D150" t="s">
        <v>63</v>
      </c>
      <c r="E150" t="s">
        <v>81</v>
      </c>
      <c r="F150" s="2"/>
      <c r="G150">
        <v>6</v>
      </c>
      <c r="H150">
        <v>7.5</v>
      </c>
      <c r="I150" s="61">
        <v>0.79</v>
      </c>
      <c r="J150" t="s">
        <v>35</v>
      </c>
      <c r="K150">
        <v>132.90000000000003</v>
      </c>
      <c r="L150">
        <v>0.5665</v>
      </c>
      <c r="M150">
        <v>2.2000000000000006E-2</v>
      </c>
      <c r="N150">
        <v>0.19499999999999984</v>
      </c>
      <c r="O150" s="2" t="s">
        <v>228</v>
      </c>
      <c r="P150" t="s">
        <v>79</v>
      </c>
      <c r="Q150" s="19" t="str">
        <f>Tableau1[[#This Row],[Voie de transport]]&amp;Tableau1[[#This Row],[Type de chargement]]</f>
        <v>UrbainVrac</v>
      </c>
      <c r="R150" s="19" t="str">
        <f>Tableau1[[#This Row],[Voie X Fret]]&amp;Tableau1[[#This Row],[Densité de chargement ]]</f>
        <v>UrbainVracLéger</v>
      </c>
    </row>
    <row r="151" spans="1:18" x14ac:dyDescent="0.3">
      <c r="A151" t="s">
        <v>9</v>
      </c>
      <c r="B151" t="s">
        <v>77</v>
      </c>
      <c r="C151" t="s">
        <v>15</v>
      </c>
      <c r="D151" t="s">
        <v>63</v>
      </c>
      <c r="E151" t="s">
        <v>81</v>
      </c>
      <c r="F151" s="2"/>
      <c r="G151">
        <v>4</v>
      </c>
      <c r="H151">
        <v>7.5</v>
      </c>
      <c r="I151" s="61">
        <v>0.79</v>
      </c>
      <c r="J151" t="s">
        <v>35</v>
      </c>
      <c r="K151">
        <v>88.700000000000045</v>
      </c>
      <c r="L151">
        <v>0.37830000000000003</v>
      </c>
      <c r="M151">
        <v>1.4000000000000002E-2</v>
      </c>
      <c r="N151">
        <v>0.13500000000000001</v>
      </c>
      <c r="O151" s="2" t="s">
        <v>228</v>
      </c>
      <c r="P151" t="s">
        <v>79</v>
      </c>
      <c r="Q151" s="19" t="str">
        <f>Tableau1[[#This Row],[Voie de transport]]&amp;Tableau1[[#This Row],[Type de chargement]]</f>
        <v>RuralVrac</v>
      </c>
      <c r="R151" s="19" t="str">
        <f>Tableau1[[#This Row],[Voie X Fret]]&amp;Tableau1[[#This Row],[Densité de chargement ]]</f>
        <v>RuralVracLéger</v>
      </c>
    </row>
    <row r="152" spans="1:18" x14ac:dyDescent="0.3">
      <c r="A152" t="s">
        <v>9</v>
      </c>
      <c r="B152" t="s">
        <v>80</v>
      </c>
      <c r="C152" t="s">
        <v>15</v>
      </c>
      <c r="D152" t="s">
        <v>63</v>
      </c>
      <c r="E152" t="s">
        <v>81</v>
      </c>
      <c r="F152" s="2"/>
      <c r="G152">
        <v>3.4</v>
      </c>
      <c r="H152">
        <v>7.5</v>
      </c>
      <c r="I152" s="61">
        <v>0.79</v>
      </c>
      <c r="J152" t="s">
        <v>35</v>
      </c>
      <c r="K152">
        <v>74.499999999999972</v>
      </c>
      <c r="L152">
        <v>0.31759999999999999</v>
      </c>
      <c r="M152">
        <v>1.2E-2</v>
      </c>
      <c r="N152">
        <v>0.10999999999999988</v>
      </c>
      <c r="O152" s="2" t="s">
        <v>228</v>
      </c>
      <c r="P152" t="s">
        <v>79</v>
      </c>
      <c r="Q152" s="19" t="str">
        <f>Tableau1[[#This Row],[Voie de transport]]&amp;Tableau1[[#This Row],[Type de chargement]]</f>
        <v>AutorouteVrac</v>
      </c>
      <c r="R152" s="19" t="str">
        <f>Tableau1[[#This Row],[Voie X Fret]]&amp;Tableau1[[#This Row],[Densité de chargement ]]</f>
        <v>AutorouteVracLéger</v>
      </c>
    </row>
    <row r="153" spans="1:18" x14ac:dyDescent="0.3">
      <c r="A153" t="s">
        <v>9</v>
      </c>
      <c r="B153" t="s">
        <v>14</v>
      </c>
      <c r="C153" t="s">
        <v>15</v>
      </c>
      <c r="D153" t="s">
        <v>63</v>
      </c>
      <c r="E153" t="s">
        <v>81</v>
      </c>
      <c r="F153" s="2"/>
      <c r="G153">
        <v>6</v>
      </c>
      <c r="H153">
        <v>7.5</v>
      </c>
      <c r="I153" s="61">
        <v>0.79</v>
      </c>
      <c r="J153" t="s">
        <v>34</v>
      </c>
      <c r="K153">
        <v>417.3</v>
      </c>
      <c r="L153">
        <v>2.5000000000000001E-3</v>
      </c>
      <c r="M153">
        <v>9.1999999999999998E-2</v>
      </c>
      <c r="N153">
        <v>3.4550000000000001</v>
      </c>
      <c r="O153" s="2" t="s">
        <v>228</v>
      </c>
      <c r="P153" t="s">
        <v>79</v>
      </c>
      <c r="Q153" s="19" t="str">
        <f>Tableau1[[#This Row],[Voie de transport]]&amp;Tableau1[[#This Row],[Type de chargement]]</f>
        <v>UrbainVrac</v>
      </c>
      <c r="R153" s="19" t="str">
        <f>Tableau1[[#This Row],[Voie X Fret]]&amp;Tableau1[[#This Row],[Densité de chargement ]]</f>
        <v>UrbainVracLéger</v>
      </c>
    </row>
    <row r="154" spans="1:18" x14ac:dyDescent="0.3">
      <c r="A154" t="s">
        <v>9</v>
      </c>
      <c r="B154" t="s">
        <v>77</v>
      </c>
      <c r="C154" t="s">
        <v>15</v>
      </c>
      <c r="D154" t="s">
        <v>63</v>
      </c>
      <c r="E154" t="s">
        <v>81</v>
      </c>
      <c r="F154" s="2"/>
      <c r="G154">
        <v>4</v>
      </c>
      <c r="H154">
        <v>7.5</v>
      </c>
      <c r="I154" s="61">
        <v>0.79</v>
      </c>
      <c r="J154" t="s">
        <v>34</v>
      </c>
      <c r="K154">
        <v>278.39999999999998</v>
      </c>
      <c r="L154">
        <v>1.6999999999999999E-3</v>
      </c>
      <c r="M154">
        <v>5.1000000000000004E-2</v>
      </c>
      <c r="N154">
        <v>1.835</v>
      </c>
      <c r="O154" s="2" t="s">
        <v>228</v>
      </c>
      <c r="P154" t="s">
        <v>79</v>
      </c>
      <c r="Q154" s="19" t="str">
        <f>Tableau1[[#This Row],[Voie de transport]]&amp;Tableau1[[#This Row],[Type de chargement]]</f>
        <v>RuralVrac</v>
      </c>
      <c r="R154" s="19" t="str">
        <f>Tableau1[[#This Row],[Voie X Fret]]&amp;Tableau1[[#This Row],[Densité de chargement ]]</f>
        <v>RuralVracLéger</v>
      </c>
    </row>
    <row r="155" spans="1:18" x14ac:dyDescent="0.3">
      <c r="A155" t="s">
        <v>9</v>
      </c>
      <c r="B155" t="s">
        <v>80</v>
      </c>
      <c r="C155" t="s">
        <v>15</v>
      </c>
      <c r="D155" t="s">
        <v>63</v>
      </c>
      <c r="E155" t="s">
        <v>81</v>
      </c>
      <c r="F155" s="2"/>
      <c r="G155">
        <v>3.4</v>
      </c>
      <c r="H155">
        <v>7.5</v>
      </c>
      <c r="I155" s="61">
        <v>0.79</v>
      </c>
      <c r="J155" t="s">
        <v>34</v>
      </c>
      <c r="K155">
        <v>233.9</v>
      </c>
      <c r="L155">
        <v>1.4E-3</v>
      </c>
      <c r="M155">
        <v>0.05</v>
      </c>
      <c r="N155">
        <v>1.6</v>
      </c>
      <c r="O155" s="2" t="s">
        <v>228</v>
      </c>
      <c r="P155" t="s">
        <v>79</v>
      </c>
      <c r="Q155" s="19" t="str">
        <f>Tableau1[[#This Row],[Voie de transport]]&amp;Tableau1[[#This Row],[Type de chargement]]</f>
        <v>AutorouteVrac</v>
      </c>
      <c r="R155" s="19" t="str">
        <f>Tableau1[[#This Row],[Voie X Fret]]&amp;Tableau1[[#This Row],[Densité de chargement ]]</f>
        <v>AutorouteVracLéger</v>
      </c>
    </row>
    <row r="156" spans="1:18" x14ac:dyDescent="0.3">
      <c r="A156" t="s">
        <v>9</v>
      </c>
      <c r="B156" t="s">
        <v>14</v>
      </c>
      <c r="C156" t="s">
        <v>15</v>
      </c>
      <c r="D156" t="s">
        <v>63</v>
      </c>
      <c r="E156" t="s">
        <v>82</v>
      </c>
      <c r="F156" s="2"/>
      <c r="G156">
        <v>5</v>
      </c>
      <c r="H156">
        <v>13</v>
      </c>
      <c r="I156" s="61">
        <v>0.25</v>
      </c>
      <c r="J156" t="s">
        <v>35</v>
      </c>
      <c r="K156">
        <v>111.30000000000001</v>
      </c>
      <c r="L156">
        <v>0.47389999999999999</v>
      </c>
      <c r="M156">
        <v>1.7999999999999999E-2</v>
      </c>
      <c r="N156">
        <v>0.16799999999999971</v>
      </c>
      <c r="O156" s="2" t="s">
        <v>228</v>
      </c>
      <c r="P156" t="s">
        <v>79</v>
      </c>
      <c r="Q156" s="19" t="str">
        <f>Tableau1[[#This Row],[Voie de transport]]&amp;Tableau1[[#This Row],[Type de chargement]]</f>
        <v>UrbainVrac</v>
      </c>
      <c r="R156" s="19" t="str">
        <f>Tableau1[[#This Row],[Voie X Fret]]&amp;Tableau1[[#This Row],[Densité de chargement ]]</f>
        <v>UrbainVracLéger</v>
      </c>
    </row>
    <row r="157" spans="1:18" x14ac:dyDescent="0.3">
      <c r="A157" t="s">
        <v>9</v>
      </c>
      <c r="B157" t="s">
        <v>77</v>
      </c>
      <c r="C157" t="s">
        <v>15</v>
      </c>
      <c r="D157" t="s">
        <v>63</v>
      </c>
      <c r="E157" t="s">
        <v>82</v>
      </c>
      <c r="F157" s="2"/>
      <c r="G157">
        <v>3.3</v>
      </c>
      <c r="H157">
        <v>13</v>
      </c>
      <c r="I157" s="61">
        <v>0.25</v>
      </c>
      <c r="J157" t="s">
        <v>35</v>
      </c>
      <c r="K157">
        <v>74.200000000000017</v>
      </c>
      <c r="L157">
        <v>0.31559999999999999</v>
      </c>
      <c r="M157">
        <v>1.2E-2</v>
      </c>
      <c r="N157">
        <v>0.11299999999999999</v>
      </c>
      <c r="O157" s="2" t="s">
        <v>228</v>
      </c>
      <c r="P157" t="s">
        <v>79</v>
      </c>
      <c r="Q157" s="19" t="str">
        <f>Tableau1[[#This Row],[Voie de transport]]&amp;Tableau1[[#This Row],[Type de chargement]]</f>
        <v>RuralVrac</v>
      </c>
      <c r="R157" s="19" t="str">
        <f>Tableau1[[#This Row],[Voie X Fret]]&amp;Tableau1[[#This Row],[Densité de chargement ]]</f>
        <v>RuralVracLéger</v>
      </c>
    </row>
    <row r="158" spans="1:18" x14ac:dyDescent="0.3">
      <c r="A158" t="s">
        <v>9</v>
      </c>
      <c r="B158" t="s">
        <v>80</v>
      </c>
      <c r="C158" t="s">
        <v>15</v>
      </c>
      <c r="D158" t="s">
        <v>63</v>
      </c>
      <c r="E158" t="s">
        <v>82</v>
      </c>
      <c r="F158" s="2"/>
      <c r="G158">
        <v>2.8</v>
      </c>
      <c r="H158">
        <v>13</v>
      </c>
      <c r="I158" s="61">
        <v>0.25</v>
      </c>
      <c r="J158" t="s">
        <v>35</v>
      </c>
      <c r="K158">
        <v>61.199999999999989</v>
      </c>
      <c r="L158">
        <v>0.26080000000000003</v>
      </c>
      <c r="M158">
        <v>0.01</v>
      </c>
      <c r="N158">
        <v>9.000000000000008E-2</v>
      </c>
      <c r="O158" s="2" t="s">
        <v>228</v>
      </c>
      <c r="P158" t="s">
        <v>79</v>
      </c>
      <c r="Q158" s="19" t="str">
        <f>Tableau1[[#This Row],[Voie de transport]]&amp;Tableau1[[#This Row],[Type de chargement]]</f>
        <v>AutorouteVrac</v>
      </c>
      <c r="R158" s="19" t="str">
        <f>Tableau1[[#This Row],[Voie X Fret]]&amp;Tableau1[[#This Row],[Densité de chargement ]]</f>
        <v>AutorouteVracLéger</v>
      </c>
    </row>
    <row r="159" spans="1:18" x14ac:dyDescent="0.3">
      <c r="A159" t="s">
        <v>9</v>
      </c>
      <c r="B159" t="s">
        <v>14</v>
      </c>
      <c r="C159" t="s">
        <v>15</v>
      </c>
      <c r="D159" t="s">
        <v>63</v>
      </c>
      <c r="E159" t="s">
        <v>82</v>
      </c>
      <c r="F159" s="2"/>
      <c r="G159">
        <v>5</v>
      </c>
      <c r="H159">
        <v>13</v>
      </c>
      <c r="I159" s="61">
        <v>0.25</v>
      </c>
      <c r="J159" t="s">
        <v>34</v>
      </c>
      <c r="K159">
        <v>352.9</v>
      </c>
      <c r="L159">
        <v>2.0999999999999999E-3</v>
      </c>
      <c r="M159">
        <v>4.5999999999999999E-2</v>
      </c>
      <c r="N159">
        <v>2.6520000000000001</v>
      </c>
      <c r="O159" s="2" t="s">
        <v>228</v>
      </c>
      <c r="P159" t="s">
        <v>79</v>
      </c>
      <c r="Q159" s="19" t="str">
        <f>Tableau1[[#This Row],[Voie de transport]]&amp;Tableau1[[#This Row],[Type de chargement]]</f>
        <v>UrbainVrac</v>
      </c>
      <c r="R159" s="19" t="str">
        <f>Tableau1[[#This Row],[Voie X Fret]]&amp;Tableau1[[#This Row],[Densité de chargement ]]</f>
        <v>UrbainVracLéger</v>
      </c>
    </row>
    <row r="160" spans="1:18" x14ac:dyDescent="0.3">
      <c r="A160" t="s">
        <v>9</v>
      </c>
      <c r="B160" t="s">
        <v>77</v>
      </c>
      <c r="C160" t="s">
        <v>15</v>
      </c>
      <c r="D160" t="s">
        <v>63</v>
      </c>
      <c r="E160" t="s">
        <v>82</v>
      </c>
      <c r="F160" s="2"/>
      <c r="G160">
        <v>3.3</v>
      </c>
      <c r="H160">
        <v>13</v>
      </c>
      <c r="I160" s="61">
        <v>0.25</v>
      </c>
      <c r="J160" t="s">
        <v>34</v>
      </c>
      <c r="K160">
        <v>235.1</v>
      </c>
      <c r="L160">
        <v>1.4E-3</v>
      </c>
      <c r="M160">
        <v>2.7E-2</v>
      </c>
      <c r="N160">
        <v>1.6970000000000001</v>
      </c>
      <c r="O160" s="2" t="s">
        <v>228</v>
      </c>
      <c r="P160" t="s">
        <v>79</v>
      </c>
      <c r="Q160" s="19" t="str">
        <f>Tableau1[[#This Row],[Voie de transport]]&amp;Tableau1[[#This Row],[Type de chargement]]</f>
        <v>RuralVrac</v>
      </c>
      <c r="R160" s="19" t="str">
        <f>Tableau1[[#This Row],[Voie X Fret]]&amp;Tableau1[[#This Row],[Densité de chargement ]]</f>
        <v>RuralVracLéger</v>
      </c>
    </row>
    <row r="161" spans="1:18" x14ac:dyDescent="0.3">
      <c r="A161" t="s">
        <v>9</v>
      </c>
      <c r="B161" t="s">
        <v>80</v>
      </c>
      <c r="C161" t="s">
        <v>15</v>
      </c>
      <c r="D161" t="s">
        <v>63</v>
      </c>
      <c r="E161" t="s">
        <v>82</v>
      </c>
      <c r="F161" s="2"/>
      <c r="G161">
        <v>2.8</v>
      </c>
      <c r="H161">
        <v>13</v>
      </c>
      <c r="I161" s="61">
        <v>0.25</v>
      </c>
      <c r="J161" t="s">
        <v>34</v>
      </c>
      <c r="K161">
        <v>193.9</v>
      </c>
      <c r="L161">
        <v>1.1999999999999999E-3</v>
      </c>
      <c r="M161">
        <v>2.5999999999999999E-2</v>
      </c>
      <c r="N161">
        <v>1.19</v>
      </c>
      <c r="O161" s="2" t="s">
        <v>228</v>
      </c>
      <c r="P161" t="s">
        <v>79</v>
      </c>
      <c r="Q161" s="19" t="str">
        <f>Tableau1[[#This Row],[Voie de transport]]&amp;Tableau1[[#This Row],[Type de chargement]]</f>
        <v>AutorouteVrac</v>
      </c>
      <c r="R161" s="19" t="str">
        <f>Tableau1[[#This Row],[Voie X Fret]]&amp;Tableau1[[#This Row],[Densité de chargement ]]</f>
        <v>AutorouteVracLéger</v>
      </c>
    </row>
    <row r="162" spans="1:18" x14ac:dyDescent="0.3">
      <c r="A162" t="s">
        <v>9</v>
      </c>
      <c r="B162" t="s">
        <v>14</v>
      </c>
      <c r="C162" t="s">
        <v>15</v>
      </c>
      <c r="D162" t="s">
        <v>63</v>
      </c>
      <c r="E162" t="s">
        <v>83</v>
      </c>
      <c r="F162" s="2"/>
      <c r="G162">
        <v>3.2</v>
      </c>
      <c r="H162">
        <v>18</v>
      </c>
      <c r="I162" s="61">
        <v>0.72</v>
      </c>
      <c r="J162" t="s">
        <v>35</v>
      </c>
      <c r="K162">
        <v>70.800000000000011</v>
      </c>
      <c r="L162">
        <v>0.30169999999999997</v>
      </c>
      <c r="M162">
        <v>1.2000000000000004E-2</v>
      </c>
      <c r="N162">
        <v>9.9999999999999867E-2</v>
      </c>
      <c r="O162" s="2" t="s">
        <v>228</v>
      </c>
      <c r="P162" t="s">
        <v>79</v>
      </c>
      <c r="Q162" s="19" t="str">
        <f>Tableau1[[#This Row],[Voie de transport]]&amp;Tableau1[[#This Row],[Type de chargement]]</f>
        <v>UrbainVrac</v>
      </c>
      <c r="R162" s="19" t="str">
        <f>Tableau1[[#This Row],[Voie X Fret]]&amp;Tableau1[[#This Row],[Densité de chargement ]]</f>
        <v>UrbainVracLéger</v>
      </c>
    </row>
    <row r="163" spans="1:18" x14ac:dyDescent="0.3">
      <c r="A163" t="s">
        <v>9</v>
      </c>
      <c r="B163" t="s">
        <v>77</v>
      </c>
      <c r="C163" t="s">
        <v>15</v>
      </c>
      <c r="D163" t="s">
        <v>63</v>
      </c>
      <c r="E163" t="s">
        <v>83</v>
      </c>
      <c r="F163" s="2"/>
      <c r="G163">
        <v>2.1</v>
      </c>
      <c r="H163">
        <v>18</v>
      </c>
      <c r="I163" s="61">
        <v>0.72</v>
      </c>
      <c r="J163" t="s">
        <v>35</v>
      </c>
      <c r="K163">
        <v>45.700000000000017</v>
      </c>
      <c r="L163">
        <v>0.19409999999999999</v>
      </c>
      <c r="M163">
        <v>7.000000000000001E-3</v>
      </c>
      <c r="N163">
        <v>7.0000000000000062E-2</v>
      </c>
      <c r="O163" s="2" t="s">
        <v>228</v>
      </c>
      <c r="P163" t="s">
        <v>79</v>
      </c>
      <c r="Q163" s="19" t="str">
        <f>Tableau1[[#This Row],[Voie de transport]]&amp;Tableau1[[#This Row],[Type de chargement]]</f>
        <v>RuralVrac</v>
      </c>
      <c r="R163" s="19" t="str">
        <f>Tableau1[[#This Row],[Voie X Fret]]&amp;Tableau1[[#This Row],[Densité de chargement ]]</f>
        <v>RuralVracLéger</v>
      </c>
    </row>
    <row r="164" spans="1:18" x14ac:dyDescent="0.3">
      <c r="A164" t="s">
        <v>9</v>
      </c>
      <c r="B164" t="s">
        <v>80</v>
      </c>
      <c r="C164" t="s">
        <v>15</v>
      </c>
      <c r="D164" t="s">
        <v>63</v>
      </c>
      <c r="E164" t="s">
        <v>83</v>
      </c>
      <c r="F164" s="2"/>
      <c r="G164">
        <v>1.7</v>
      </c>
      <c r="H164">
        <v>18</v>
      </c>
      <c r="I164" s="61">
        <v>0.72</v>
      </c>
      <c r="J164" t="s">
        <v>35</v>
      </c>
      <c r="K164">
        <v>38.400000000000006</v>
      </c>
      <c r="L164">
        <v>0.1643</v>
      </c>
      <c r="M164">
        <v>6.0000000000000019E-3</v>
      </c>
      <c r="N164">
        <v>5.5999999999999939E-2</v>
      </c>
      <c r="O164" s="2" t="s">
        <v>228</v>
      </c>
      <c r="P164" t="s">
        <v>79</v>
      </c>
      <c r="Q164" s="19" t="str">
        <f>Tableau1[[#This Row],[Voie de transport]]&amp;Tableau1[[#This Row],[Type de chargement]]</f>
        <v>AutorouteVrac</v>
      </c>
      <c r="R164" s="19" t="str">
        <f>Tableau1[[#This Row],[Voie X Fret]]&amp;Tableau1[[#This Row],[Densité de chargement ]]</f>
        <v>AutorouteVracLéger</v>
      </c>
    </row>
    <row r="165" spans="1:18" x14ac:dyDescent="0.3">
      <c r="A165" t="s">
        <v>9</v>
      </c>
      <c r="B165" t="s">
        <v>14</v>
      </c>
      <c r="C165" t="s">
        <v>15</v>
      </c>
      <c r="D165" t="s">
        <v>63</v>
      </c>
      <c r="E165" t="s">
        <v>83</v>
      </c>
      <c r="F165" s="2"/>
      <c r="G165">
        <v>3.2</v>
      </c>
      <c r="H165">
        <v>18</v>
      </c>
      <c r="I165" s="61">
        <v>0.72</v>
      </c>
      <c r="J165" t="s">
        <v>34</v>
      </c>
      <c r="K165">
        <v>224</v>
      </c>
      <c r="L165">
        <v>1.2999999999999999E-3</v>
      </c>
      <c r="M165">
        <v>5.4000000000000006E-2</v>
      </c>
      <c r="N165">
        <v>1.82</v>
      </c>
      <c r="O165" s="2" t="s">
        <v>228</v>
      </c>
      <c r="P165" t="s">
        <v>79</v>
      </c>
      <c r="Q165" s="19" t="str">
        <f>Tableau1[[#This Row],[Voie de transport]]&amp;Tableau1[[#This Row],[Type de chargement]]</f>
        <v>UrbainVrac</v>
      </c>
      <c r="R165" s="19" t="str">
        <f>Tableau1[[#This Row],[Voie X Fret]]&amp;Tableau1[[#This Row],[Densité de chargement ]]</f>
        <v>UrbainVracLéger</v>
      </c>
    </row>
    <row r="166" spans="1:18" x14ac:dyDescent="0.3">
      <c r="A166" t="s">
        <v>9</v>
      </c>
      <c r="B166" t="s">
        <v>77</v>
      </c>
      <c r="C166" t="s">
        <v>15</v>
      </c>
      <c r="D166" t="s">
        <v>63</v>
      </c>
      <c r="E166" t="s">
        <v>83</v>
      </c>
      <c r="F166" s="2"/>
      <c r="G166">
        <v>2.1</v>
      </c>
      <c r="H166">
        <v>18</v>
      </c>
      <c r="I166" s="61">
        <v>0.72</v>
      </c>
      <c r="J166" t="s">
        <v>34</v>
      </c>
      <c r="K166">
        <v>144.6</v>
      </c>
      <c r="L166">
        <v>8.9999999999999998E-4</v>
      </c>
      <c r="M166">
        <v>0.03</v>
      </c>
      <c r="N166">
        <v>1.05</v>
      </c>
      <c r="O166" s="2" t="s">
        <v>228</v>
      </c>
      <c r="P166" t="s">
        <v>79</v>
      </c>
      <c r="Q166" s="19" t="str">
        <f>Tableau1[[#This Row],[Voie de transport]]&amp;Tableau1[[#This Row],[Type de chargement]]</f>
        <v>RuralVrac</v>
      </c>
      <c r="R166" s="19" t="str">
        <f>Tableau1[[#This Row],[Voie X Fret]]&amp;Tableau1[[#This Row],[Densité de chargement ]]</f>
        <v>RuralVracLéger</v>
      </c>
    </row>
    <row r="167" spans="1:18" x14ac:dyDescent="0.3">
      <c r="A167" t="s">
        <v>9</v>
      </c>
      <c r="B167" t="s">
        <v>80</v>
      </c>
      <c r="C167" t="s">
        <v>15</v>
      </c>
      <c r="D167" t="s">
        <v>63</v>
      </c>
      <c r="E167" t="s">
        <v>83</v>
      </c>
      <c r="F167" s="2"/>
      <c r="G167">
        <v>1.7</v>
      </c>
      <c r="H167">
        <v>18</v>
      </c>
      <c r="I167" s="61">
        <v>0.72</v>
      </c>
      <c r="J167" t="s">
        <v>34</v>
      </c>
      <c r="K167">
        <v>121.9</v>
      </c>
      <c r="L167">
        <v>6.9999999999999999E-4</v>
      </c>
      <c r="M167">
        <v>0.03</v>
      </c>
      <c r="N167">
        <v>0.88400000000000001</v>
      </c>
      <c r="O167" s="2" t="s">
        <v>228</v>
      </c>
      <c r="P167" t="s">
        <v>79</v>
      </c>
      <c r="Q167" s="19" t="str">
        <f>Tableau1[[#This Row],[Voie de transport]]&amp;Tableau1[[#This Row],[Type de chargement]]</f>
        <v>AutorouteVrac</v>
      </c>
      <c r="R167" s="19" t="str">
        <f>Tableau1[[#This Row],[Voie X Fret]]&amp;Tableau1[[#This Row],[Densité de chargement ]]</f>
        <v>AutorouteVracLéger</v>
      </c>
    </row>
    <row r="168" spans="1:18" x14ac:dyDescent="0.3">
      <c r="A168" t="s">
        <v>9</v>
      </c>
      <c r="B168" t="s">
        <v>14</v>
      </c>
      <c r="C168" t="s">
        <v>15</v>
      </c>
      <c r="D168" t="s">
        <v>63</v>
      </c>
      <c r="E168" t="s">
        <v>84</v>
      </c>
      <c r="F168" s="2"/>
      <c r="G168">
        <v>2.8</v>
      </c>
      <c r="H168">
        <v>28</v>
      </c>
      <c r="I168" s="61">
        <v>0.79</v>
      </c>
      <c r="J168" t="s">
        <v>35</v>
      </c>
      <c r="K168">
        <v>62.799999999999983</v>
      </c>
      <c r="L168">
        <v>0.26680000000000004</v>
      </c>
      <c r="M168">
        <v>1.0000000000000002E-2</v>
      </c>
      <c r="N168">
        <v>9.1999999999999971E-2</v>
      </c>
      <c r="O168" s="2" t="s">
        <v>228</v>
      </c>
      <c r="P168" t="s">
        <v>79</v>
      </c>
      <c r="Q168" s="19" t="str">
        <f>Tableau1[[#This Row],[Voie de transport]]&amp;Tableau1[[#This Row],[Type de chargement]]</f>
        <v>UrbainVrac</v>
      </c>
      <c r="R168" s="19" t="str">
        <f>Tableau1[[#This Row],[Voie X Fret]]&amp;Tableau1[[#This Row],[Densité de chargement ]]</f>
        <v>UrbainVracLéger</v>
      </c>
    </row>
    <row r="169" spans="1:18" x14ac:dyDescent="0.3">
      <c r="A169" t="s">
        <v>9</v>
      </c>
      <c r="B169" t="s">
        <v>77</v>
      </c>
      <c r="C169" t="s">
        <v>15</v>
      </c>
      <c r="D169" t="s">
        <v>63</v>
      </c>
      <c r="E169" t="s">
        <v>84</v>
      </c>
      <c r="F169" s="2"/>
      <c r="G169">
        <v>1.7</v>
      </c>
      <c r="H169">
        <v>28</v>
      </c>
      <c r="I169" s="61">
        <v>0.79</v>
      </c>
      <c r="J169" t="s">
        <v>35</v>
      </c>
      <c r="K169">
        <v>37.899999999999991</v>
      </c>
      <c r="L169">
        <v>0.1613</v>
      </c>
      <c r="M169">
        <v>6.0000000000000001E-3</v>
      </c>
      <c r="N169">
        <v>5.7000000000000051E-2</v>
      </c>
      <c r="O169" s="2" t="s">
        <v>228</v>
      </c>
      <c r="P169" t="s">
        <v>79</v>
      </c>
      <c r="Q169" s="19" t="str">
        <f>Tableau1[[#This Row],[Voie de transport]]&amp;Tableau1[[#This Row],[Type de chargement]]</f>
        <v>RuralVrac</v>
      </c>
      <c r="R169" s="19" t="str">
        <f>Tableau1[[#This Row],[Voie X Fret]]&amp;Tableau1[[#This Row],[Densité de chargement ]]</f>
        <v>RuralVracLéger</v>
      </c>
    </row>
    <row r="170" spans="1:18" x14ac:dyDescent="0.3">
      <c r="A170" t="s">
        <v>9</v>
      </c>
      <c r="B170" t="s">
        <v>80</v>
      </c>
      <c r="C170" t="s">
        <v>15</v>
      </c>
      <c r="D170" t="s">
        <v>63</v>
      </c>
      <c r="E170" t="s">
        <v>84</v>
      </c>
      <c r="F170" s="2"/>
      <c r="G170">
        <v>1.4</v>
      </c>
      <c r="H170">
        <v>28</v>
      </c>
      <c r="I170" s="61">
        <v>0.79</v>
      </c>
      <c r="J170" t="s">
        <v>35</v>
      </c>
      <c r="K170">
        <v>31.099999999999994</v>
      </c>
      <c r="L170">
        <v>0.13240000000000002</v>
      </c>
      <c r="M170">
        <v>5.0000000000000001E-3</v>
      </c>
      <c r="N170">
        <v>4.9999999999999989E-2</v>
      </c>
      <c r="O170" s="2" t="s">
        <v>228</v>
      </c>
      <c r="P170" t="s">
        <v>79</v>
      </c>
      <c r="Q170" s="19" t="str">
        <f>Tableau1[[#This Row],[Voie de transport]]&amp;Tableau1[[#This Row],[Type de chargement]]</f>
        <v>AutorouteVrac</v>
      </c>
      <c r="R170" s="19" t="str">
        <f>Tableau1[[#This Row],[Voie X Fret]]&amp;Tableau1[[#This Row],[Densité de chargement ]]</f>
        <v>AutorouteVracLéger</v>
      </c>
    </row>
    <row r="171" spans="1:18" x14ac:dyDescent="0.3">
      <c r="A171" t="s">
        <v>9</v>
      </c>
      <c r="B171" t="s">
        <v>14</v>
      </c>
      <c r="C171" t="s">
        <v>15</v>
      </c>
      <c r="D171" t="s">
        <v>63</v>
      </c>
      <c r="E171" t="s">
        <v>84</v>
      </c>
      <c r="F171" s="2"/>
      <c r="G171">
        <v>2.8</v>
      </c>
      <c r="H171">
        <v>28</v>
      </c>
      <c r="I171" s="61">
        <v>0.79</v>
      </c>
      <c r="J171" t="s">
        <v>34</v>
      </c>
      <c r="K171">
        <v>199.1</v>
      </c>
      <c r="L171">
        <v>1.1999999999999999E-3</v>
      </c>
      <c r="M171">
        <v>2.3E-2</v>
      </c>
      <c r="N171">
        <v>0.85799999999999998</v>
      </c>
      <c r="O171" s="2" t="s">
        <v>228</v>
      </c>
      <c r="P171" t="s">
        <v>79</v>
      </c>
      <c r="Q171" s="19" t="str">
        <f>Tableau1[[#This Row],[Voie de transport]]&amp;Tableau1[[#This Row],[Type de chargement]]</f>
        <v>UrbainVrac</v>
      </c>
      <c r="R171" s="19" t="str">
        <f>Tableau1[[#This Row],[Voie X Fret]]&amp;Tableau1[[#This Row],[Densité de chargement ]]</f>
        <v>UrbainVracLéger</v>
      </c>
    </row>
    <row r="172" spans="1:18" x14ac:dyDescent="0.3">
      <c r="A172" t="s">
        <v>9</v>
      </c>
      <c r="B172" t="s">
        <v>77</v>
      </c>
      <c r="C172" t="s">
        <v>15</v>
      </c>
      <c r="D172" t="s">
        <v>63</v>
      </c>
      <c r="E172" t="s">
        <v>84</v>
      </c>
      <c r="F172" s="2"/>
      <c r="G172">
        <v>1.7</v>
      </c>
      <c r="H172">
        <v>28</v>
      </c>
      <c r="I172" s="61">
        <v>0.79</v>
      </c>
      <c r="J172" t="s">
        <v>34</v>
      </c>
      <c r="K172">
        <v>120.3</v>
      </c>
      <c r="L172">
        <v>6.9999999999999999E-4</v>
      </c>
      <c r="M172">
        <v>1.2999999999999999E-2</v>
      </c>
      <c r="N172">
        <v>0.503</v>
      </c>
      <c r="O172" s="2" t="s">
        <v>228</v>
      </c>
      <c r="P172" t="s">
        <v>79</v>
      </c>
      <c r="Q172" s="19" t="str">
        <f>Tableau1[[#This Row],[Voie de transport]]&amp;Tableau1[[#This Row],[Type de chargement]]</f>
        <v>RuralVrac</v>
      </c>
      <c r="R172" s="19" t="str">
        <f>Tableau1[[#This Row],[Voie X Fret]]&amp;Tableau1[[#This Row],[Densité de chargement ]]</f>
        <v>RuralVracLéger</v>
      </c>
    </row>
    <row r="173" spans="1:18" x14ac:dyDescent="0.3">
      <c r="A173" t="s">
        <v>9</v>
      </c>
      <c r="B173" t="s">
        <v>80</v>
      </c>
      <c r="C173" t="s">
        <v>15</v>
      </c>
      <c r="D173" t="s">
        <v>63</v>
      </c>
      <c r="E173" t="s">
        <v>84</v>
      </c>
      <c r="F173" s="2"/>
      <c r="G173">
        <v>1.4</v>
      </c>
      <c r="H173">
        <v>28</v>
      </c>
      <c r="I173" s="61">
        <v>0.79</v>
      </c>
      <c r="J173" t="s">
        <v>34</v>
      </c>
      <c r="K173">
        <v>98.6</v>
      </c>
      <c r="L173">
        <v>5.9999999999999995E-4</v>
      </c>
      <c r="M173">
        <v>1.3000000000000001E-2</v>
      </c>
      <c r="N173">
        <v>0.33</v>
      </c>
      <c r="O173" s="2" t="s">
        <v>228</v>
      </c>
      <c r="P173" t="s">
        <v>79</v>
      </c>
      <c r="Q173" s="19" t="str">
        <f>Tableau1[[#This Row],[Voie de transport]]&amp;Tableau1[[#This Row],[Type de chargement]]</f>
        <v>AutorouteVrac</v>
      </c>
      <c r="R173" s="19" t="str">
        <f>Tableau1[[#This Row],[Voie X Fret]]&amp;Tableau1[[#This Row],[Densité de chargement ]]</f>
        <v>AutorouteVracLéger</v>
      </c>
    </row>
    <row r="174" spans="1:18" x14ac:dyDescent="0.3">
      <c r="A174" t="s">
        <v>9</v>
      </c>
      <c r="B174" t="s">
        <v>14</v>
      </c>
      <c r="C174" t="s">
        <v>15</v>
      </c>
      <c r="D174" t="s">
        <v>63</v>
      </c>
      <c r="E174" t="s">
        <v>85</v>
      </c>
      <c r="F174" s="2"/>
      <c r="G174">
        <v>4.5999999999999996</v>
      </c>
      <c r="H174">
        <v>15.7</v>
      </c>
      <c r="I174" s="61">
        <v>0.7</v>
      </c>
      <c r="J174" t="s">
        <v>35</v>
      </c>
      <c r="K174">
        <v>101</v>
      </c>
      <c r="L174">
        <v>0.43009999999999998</v>
      </c>
      <c r="M174">
        <v>1.6E-2</v>
      </c>
      <c r="N174">
        <v>0.14999999999999991</v>
      </c>
      <c r="O174" s="2" t="s">
        <v>228</v>
      </c>
      <c r="P174" t="s">
        <v>79</v>
      </c>
      <c r="Q174" s="19" t="str">
        <f>Tableau1[[#This Row],[Voie de transport]]&amp;Tableau1[[#This Row],[Type de chargement]]</f>
        <v>UrbainVrac</v>
      </c>
      <c r="R174" s="19" t="str">
        <f>Tableau1[[#This Row],[Voie X Fret]]&amp;Tableau1[[#This Row],[Densité de chargement ]]</f>
        <v>UrbainVracLéger</v>
      </c>
    </row>
    <row r="175" spans="1:18" x14ac:dyDescent="0.3">
      <c r="A175" t="s">
        <v>9</v>
      </c>
      <c r="B175" t="s">
        <v>77</v>
      </c>
      <c r="C175" t="s">
        <v>15</v>
      </c>
      <c r="D175" t="s">
        <v>63</v>
      </c>
      <c r="E175" t="s">
        <v>85</v>
      </c>
      <c r="F175" s="2"/>
      <c r="G175">
        <v>3.1</v>
      </c>
      <c r="H175">
        <v>15.7</v>
      </c>
      <c r="I175" s="61">
        <v>0.7</v>
      </c>
      <c r="J175" t="s">
        <v>35</v>
      </c>
      <c r="K175">
        <v>69.500000000000028</v>
      </c>
      <c r="L175">
        <v>0.29669999999999996</v>
      </c>
      <c r="M175">
        <v>1.2E-2</v>
      </c>
      <c r="N175">
        <v>9.9999999999999867E-2</v>
      </c>
      <c r="O175" s="2" t="s">
        <v>228</v>
      </c>
      <c r="P175" t="s">
        <v>79</v>
      </c>
      <c r="Q175" s="19" t="str">
        <f>Tableau1[[#This Row],[Voie de transport]]&amp;Tableau1[[#This Row],[Type de chargement]]</f>
        <v>RuralVrac</v>
      </c>
      <c r="R175" s="19" t="str">
        <f>Tableau1[[#This Row],[Voie X Fret]]&amp;Tableau1[[#This Row],[Densité de chargement ]]</f>
        <v>RuralVracLéger</v>
      </c>
    </row>
    <row r="176" spans="1:18" x14ac:dyDescent="0.3">
      <c r="A176" t="s">
        <v>9</v>
      </c>
      <c r="B176" t="s">
        <v>80</v>
      </c>
      <c r="C176" t="s">
        <v>15</v>
      </c>
      <c r="D176" t="s">
        <v>63</v>
      </c>
      <c r="E176" t="s">
        <v>85</v>
      </c>
      <c r="F176" s="2"/>
      <c r="G176">
        <v>2.6</v>
      </c>
      <c r="H176">
        <v>15.7</v>
      </c>
      <c r="I176" s="61">
        <v>0.7</v>
      </c>
      <c r="J176" t="s">
        <v>35</v>
      </c>
      <c r="K176">
        <v>57.099999999999994</v>
      </c>
      <c r="L176">
        <v>0.2429</v>
      </c>
      <c r="M176">
        <v>9.0000000000000011E-3</v>
      </c>
      <c r="N176">
        <v>8.2999999999999963E-2</v>
      </c>
      <c r="O176" s="2" t="s">
        <v>228</v>
      </c>
      <c r="P176" t="s">
        <v>79</v>
      </c>
      <c r="Q176" s="19" t="str">
        <f>Tableau1[[#This Row],[Voie de transport]]&amp;Tableau1[[#This Row],[Type de chargement]]</f>
        <v>AutorouteVrac</v>
      </c>
      <c r="R176" s="19" t="str">
        <f>Tableau1[[#This Row],[Voie X Fret]]&amp;Tableau1[[#This Row],[Densité de chargement ]]</f>
        <v>AutorouteVracLéger</v>
      </c>
    </row>
    <row r="177" spans="1:18" x14ac:dyDescent="0.3">
      <c r="A177" t="s">
        <v>9</v>
      </c>
      <c r="B177" t="s">
        <v>14</v>
      </c>
      <c r="C177" t="s">
        <v>15</v>
      </c>
      <c r="D177" t="s">
        <v>63</v>
      </c>
      <c r="E177" t="s">
        <v>85</v>
      </c>
      <c r="F177" s="2"/>
      <c r="G177">
        <v>4.5999999999999996</v>
      </c>
      <c r="H177">
        <v>15.7</v>
      </c>
      <c r="I177" s="61">
        <v>0.7</v>
      </c>
      <c r="J177" t="s">
        <v>34</v>
      </c>
      <c r="K177">
        <v>320.39999999999998</v>
      </c>
      <c r="L177">
        <v>1.9E-3</v>
      </c>
      <c r="M177">
        <v>3.4000000000000002E-2</v>
      </c>
      <c r="N177">
        <v>1.78</v>
      </c>
      <c r="O177" s="2" t="s">
        <v>228</v>
      </c>
      <c r="P177" t="s">
        <v>79</v>
      </c>
      <c r="Q177" s="19" t="str">
        <f>Tableau1[[#This Row],[Voie de transport]]&amp;Tableau1[[#This Row],[Type de chargement]]</f>
        <v>UrbainVrac</v>
      </c>
      <c r="R177" s="19" t="str">
        <f>Tableau1[[#This Row],[Voie X Fret]]&amp;Tableau1[[#This Row],[Densité de chargement ]]</f>
        <v>UrbainVracLéger</v>
      </c>
    </row>
    <row r="178" spans="1:18" x14ac:dyDescent="0.3">
      <c r="A178" t="s">
        <v>9</v>
      </c>
      <c r="B178" t="s">
        <v>77</v>
      </c>
      <c r="C178" t="s">
        <v>15</v>
      </c>
      <c r="D178" t="s">
        <v>63</v>
      </c>
      <c r="E178" t="s">
        <v>85</v>
      </c>
      <c r="F178" s="2"/>
      <c r="G178">
        <v>3.1</v>
      </c>
      <c r="H178">
        <v>15.7</v>
      </c>
      <c r="I178" s="61">
        <v>0.7</v>
      </c>
      <c r="J178" t="s">
        <v>34</v>
      </c>
      <c r="K178">
        <v>220.6</v>
      </c>
      <c r="L178">
        <v>1.2999999999999999E-3</v>
      </c>
      <c r="M178">
        <v>1.8000000000000002E-2</v>
      </c>
      <c r="N178">
        <v>1.03</v>
      </c>
      <c r="O178" s="2" t="s">
        <v>228</v>
      </c>
      <c r="P178" t="s">
        <v>79</v>
      </c>
      <c r="Q178" s="19" t="str">
        <f>Tableau1[[#This Row],[Voie de transport]]&amp;Tableau1[[#This Row],[Type de chargement]]</f>
        <v>RuralVrac</v>
      </c>
      <c r="R178" s="19" t="str">
        <f>Tableau1[[#This Row],[Voie X Fret]]&amp;Tableau1[[#This Row],[Densité de chargement ]]</f>
        <v>RuralVracLéger</v>
      </c>
    </row>
    <row r="179" spans="1:18" x14ac:dyDescent="0.3">
      <c r="A179" t="s">
        <v>9</v>
      </c>
      <c r="B179" t="s">
        <v>80</v>
      </c>
      <c r="C179" t="s">
        <v>15</v>
      </c>
      <c r="D179" t="s">
        <v>63</v>
      </c>
      <c r="E179" t="s">
        <v>85</v>
      </c>
      <c r="F179" s="2"/>
      <c r="G179">
        <v>2.6</v>
      </c>
      <c r="H179">
        <v>15.7</v>
      </c>
      <c r="I179" s="61">
        <v>0.7</v>
      </c>
      <c r="J179" t="s">
        <v>34</v>
      </c>
      <c r="K179">
        <v>180.9</v>
      </c>
      <c r="L179">
        <v>1.1000000000000001E-3</v>
      </c>
      <c r="M179">
        <v>1.7999999999999999E-2</v>
      </c>
      <c r="N179">
        <v>0.63700000000000001</v>
      </c>
      <c r="O179" s="2" t="s">
        <v>228</v>
      </c>
      <c r="P179" t="s">
        <v>79</v>
      </c>
      <c r="Q179" s="19" t="str">
        <f>Tableau1[[#This Row],[Voie de transport]]&amp;Tableau1[[#This Row],[Type de chargement]]</f>
        <v>AutorouteVrac</v>
      </c>
      <c r="R179" s="19" t="str">
        <f>Tableau1[[#This Row],[Voie X Fret]]&amp;Tableau1[[#This Row],[Densité de chargement ]]</f>
        <v>AutorouteVracLéger</v>
      </c>
    </row>
    <row r="180" spans="1:18" x14ac:dyDescent="0.3">
      <c r="A180" t="s">
        <v>9</v>
      </c>
      <c r="B180" t="s">
        <v>14</v>
      </c>
      <c r="C180" t="s">
        <v>15</v>
      </c>
      <c r="D180" t="s">
        <v>63</v>
      </c>
      <c r="E180" t="s">
        <v>86</v>
      </c>
      <c r="F180" s="2"/>
      <c r="G180">
        <v>2.8</v>
      </c>
      <c r="H180">
        <v>29.2</v>
      </c>
      <c r="I180" s="61">
        <v>0.15</v>
      </c>
      <c r="J180" t="s">
        <v>35</v>
      </c>
      <c r="K180">
        <v>61.400000000000006</v>
      </c>
      <c r="L180">
        <v>0.26180000000000003</v>
      </c>
      <c r="M180">
        <v>1.0000000000000002E-2</v>
      </c>
      <c r="N180">
        <v>9.1999999999999971E-2</v>
      </c>
      <c r="O180" s="2" t="s">
        <v>228</v>
      </c>
      <c r="P180" t="s">
        <v>79</v>
      </c>
      <c r="Q180" s="19" t="str">
        <f>Tableau1[[#This Row],[Voie de transport]]&amp;Tableau1[[#This Row],[Type de chargement]]</f>
        <v>UrbainVrac</v>
      </c>
      <c r="R180" s="19" t="str">
        <f>Tableau1[[#This Row],[Voie X Fret]]&amp;Tableau1[[#This Row],[Densité de chargement ]]</f>
        <v>UrbainVracLéger</v>
      </c>
    </row>
    <row r="181" spans="1:18" x14ac:dyDescent="0.3">
      <c r="A181" t="s">
        <v>9</v>
      </c>
      <c r="B181" t="s">
        <v>77</v>
      </c>
      <c r="C181" t="s">
        <v>15</v>
      </c>
      <c r="D181" t="s">
        <v>63</v>
      </c>
      <c r="E181" t="s">
        <v>86</v>
      </c>
      <c r="F181" s="2"/>
      <c r="G181">
        <v>1.7</v>
      </c>
      <c r="H181">
        <v>29.2</v>
      </c>
      <c r="I181" s="61">
        <v>0.15</v>
      </c>
      <c r="J181" t="s">
        <v>35</v>
      </c>
      <c r="K181">
        <v>38.600000000000009</v>
      </c>
      <c r="L181">
        <v>0.1643</v>
      </c>
      <c r="M181">
        <v>6.0000000000000001E-3</v>
      </c>
      <c r="N181">
        <v>5.6999999999999995E-2</v>
      </c>
      <c r="O181" s="2" t="s">
        <v>228</v>
      </c>
      <c r="P181" t="s">
        <v>79</v>
      </c>
      <c r="Q181" s="19" t="str">
        <f>Tableau1[[#This Row],[Voie de transport]]&amp;Tableau1[[#This Row],[Type de chargement]]</f>
        <v>RuralVrac</v>
      </c>
      <c r="R181" s="19" t="str">
        <f>Tableau1[[#This Row],[Voie X Fret]]&amp;Tableau1[[#This Row],[Densité de chargement ]]</f>
        <v>RuralVracLéger</v>
      </c>
    </row>
    <row r="182" spans="1:18" x14ac:dyDescent="0.3">
      <c r="A182" t="s">
        <v>9</v>
      </c>
      <c r="B182" t="s">
        <v>80</v>
      </c>
      <c r="C182" t="s">
        <v>15</v>
      </c>
      <c r="D182" t="s">
        <v>63</v>
      </c>
      <c r="E182" t="s">
        <v>86</v>
      </c>
      <c r="F182" s="2"/>
      <c r="G182">
        <v>1.2</v>
      </c>
      <c r="H182">
        <v>29.2</v>
      </c>
      <c r="I182" s="61">
        <v>0.15</v>
      </c>
      <c r="J182" t="s">
        <v>35</v>
      </c>
      <c r="K182">
        <v>25.800000000000011</v>
      </c>
      <c r="L182">
        <v>0.1105</v>
      </c>
      <c r="M182">
        <v>5.0000000000000001E-3</v>
      </c>
      <c r="N182">
        <v>4.1999999999999982E-2</v>
      </c>
      <c r="O182" s="2" t="s">
        <v>228</v>
      </c>
      <c r="P182" t="s">
        <v>79</v>
      </c>
      <c r="Q182" s="19" t="str">
        <f>Tableau1[[#This Row],[Voie de transport]]&amp;Tableau1[[#This Row],[Type de chargement]]</f>
        <v>AutorouteVrac</v>
      </c>
      <c r="R182" s="19" t="str">
        <f>Tableau1[[#This Row],[Voie X Fret]]&amp;Tableau1[[#This Row],[Densité de chargement ]]</f>
        <v>AutorouteVracLéger</v>
      </c>
    </row>
    <row r="183" spans="1:18" x14ac:dyDescent="0.3">
      <c r="A183" t="s">
        <v>9</v>
      </c>
      <c r="B183" t="s">
        <v>14</v>
      </c>
      <c r="C183" t="s">
        <v>15</v>
      </c>
      <c r="D183" t="s">
        <v>63</v>
      </c>
      <c r="E183" t="s">
        <v>86</v>
      </c>
      <c r="F183" s="2"/>
      <c r="G183">
        <v>2.8</v>
      </c>
      <c r="H183">
        <v>29.2</v>
      </c>
      <c r="I183" s="61">
        <v>0.15</v>
      </c>
      <c r="J183" t="s">
        <v>34</v>
      </c>
      <c r="K183">
        <v>194.9</v>
      </c>
      <c r="L183">
        <v>1.1999999999999999E-3</v>
      </c>
      <c r="M183">
        <v>1.7000000000000001E-2</v>
      </c>
      <c r="N183">
        <v>0.67800000000000005</v>
      </c>
      <c r="O183" s="2" t="s">
        <v>228</v>
      </c>
      <c r="P183" t="s">
        <v>79</v>
      </c>
      <c r="Q183" s="19" t="str">
        <f>Tableau1[[#This Row],[Voie de transport]]&amp;Tableau1[[#This Row],[Type de chargement]]</f>
        <v>UrbainVrac</v>
      </c>
      <c r="R183" s="19" t="str">
        <f>Tableau1[[#This Row],[Voie X Fret]]&amp;Tableau1[[#This Row],[Densité de chargement ]]</f>
        <v>UrbainVracLéger</v>
      </c>
    </row>
    <row r="184" spans="1:18" x14ac:dyDescent="0.3">
      <c r="A184" t="s">
        <v>9</v>
      </c>
      <c r="B184" t="s">
        <v>77</v>
      </c>
      <c r="C184" t="s">
        <v>15</v>
      </c>
      <c r="D184" t="s">
        <v>63</v>
      </c>
      <c r="E184" t="s">
        <v>86</v>
      </c>
      <c r="F184" s="2"/>
      <c r="G184">
        <v>1.7</v>
      </c>
      <c r="H184">
        <v>29.2</v>
      </c>
      <c r="I184" s="61">
        <v>0.15</v>
      </c>
      <c r="J184" t="s">
        <v>34</v>
      </c>
      <c r="K184">
        <v>122.3</v>
      </c>
      <c r="L184">
        <v>6.9999999999999999E-4</v>
      </c>
      <c r="M184">
        <v>0.01</v>
      </c>
      <c r="N184">
        <v>0.40300000000000002</v>
      </c>
      <c r="O184" s="2" t="s">
        <v>228</v>
      </c>
      <c r="P184" t="s">
        <v>79</v>
      </c>
      <c r="Q184" s="19" t="str">
        <f>Tableau1[[#This Row],[Voie de transport]]&amp;Tableau1[[#This Row],[Type de chargement]]</f>
        <v>RuralVrac</v>
      </c>
      <c r="R184" s="19" t="str">
        <f>Tableau1[[#This Row],[Voie X Fret]]&amp;Tableau1[[#This Row],[Densité de chargement ]]</f>
        <v>RuralVracLéger</v>
      </c>
    </row>
    <row r="185" spans="1:18" x14ac:dyDescent="0.3">
      <c r="A185" t="s">
        <v>9</v>
      </c>
      <c r="B185" t="s">
        <v>80</v>
      </c>
      <c r="C185" t="s">
        <v>15</v>
      </c>
      <c r="D185" t="s">
        <v>63</v>
      </c>
      <c r="E185" t="s">
        <v>86</v>
      </c>
      <c r="F185" s="2"/>
      <c r="G185">
        <v>1.2</v>
      </c>
      <c r="H185">
        <v>29.2</v>
      </c>
      <c r="I185" s="61">
        <v>0.15</v>
      </c>
      <c r="J185" t="s">
        <v>34</v>
      </c>
      <c r="K185">
        <v>82.1</v>
      </c>
      <c r="L185">
        <v>5.0000000000000001E-4</v>
      </c>
      <c r="M185">
        <v>8.0000000000000002E-3</v>
      </c>
      <c r="N185">
        <v>0.27800000000000002</v>
      </c>
      <c r="O185" s="2" t="s">
        <v>228</v>
      </c>
      <c r="P185" t="s">
        <v>79</v>
      </c>
      <c r="Q185" s="19" t="str">
        <f>Tableau1[[#This Row],[Voie de transport]]&amp;Tableau1[[#This Row],[Type de chargement]]</f>
        <v>AutorouteVrac</v>
      </c>
      <c r="R185" s="19" t="str">
        <f>Tableau1[[#This Row],[Voie X Fret]]&amp;Tableau1[[#This Row],[Densité de chargement ]]</f>
        <v>AutorouteVracLéger</v>
      </c>
    </row>
    <row r="186" spans="1:18" x14ac:dyDescent="0.3">
      <c r="A186" t="s">
        <v>9</v>
      </c>
      <c r="B186" t="s">
        <v>14</v>
      </c>
      <c r="C186" t="s">
        <v>15</v>
      </c>
      <c r="D186" t="s">
        <v>63</v>
      </c>
      <c r="E186" t="s">
        <v>87</v>
      </c>
      <c r="F186" s="2"/>
      <c r="G186">
        <v>2.7</v>
      </c>
      <c r="H186">
        <v>40.799999999999997</v>
      </c>
      <c r="I186" s="61">
        <v>0.74</v>
      </c>
      <c r="J186" t="s">
        <v>35</v>
      </c>
      <c r="K186">
        <v>59.299999999999983</v>
      </c>
      <c r="L186">
        <v>0.25290000000000001</v>
      </c>
      <c r="M186">
        <v>0.01</v>
      </c>
      <c r="N186">
        <v>9.2999999999999972E-2</v>
      </c>
      <c r="O186" s="2" t="s">
        <v>228</v>
      </c>
      <c r="P186" t="s">
        <v>79</v>
      </c>
      <c r="Q186" s="19" t="str">
        <f>Tableau1[[#This Row],[Voie de transport]]&amp;Tableau1[[#This Row],[Type de chargement]]</f>
        <v>UrbainVrac</v>
      </c>
      <c r="R186" s="19" t="str">
        <f>Tableau1[[#This Row],[Voie X Fret]]&amp;Tableau1[[#This Row],[Densité de chargement ]]</f>
        <v>UrbainVracLéger</v>
      </c>
    </row>
    <row r="187" spans="1:18" x14ac:dyDescent="0.3">
      <c r="A187" t="s">
        <v>9</v>
      </c>
      <c r="B187" t="s">
        <v>77</v>
      </c>
      <c r="C187" t="s">
        <v>15</v>
      </c>
      <c r="D187" t="s">
        <v>63</v>
      </c>
      <c r="E187" t="s">
        <v>87</v>
      </c>
      <c r="F187" s="2"/>
      <c r="G187">
        <v>1.7</v>
      </c>
      <c r="H187">
        <v>40.799999999999997</v>
      </c>
      <c r="I187" s="61">
        <v>0.74</v>
      </c>
      <c r="J187" t="s">
        <v>35</v>
      </c>
      <c r="K187">
        <v>37.200000000000003</v>
      </c>
      <c r="L187">
        <v>0.1583</v>
      </c>
      <c r="M187">
        <v>5.9999999999999993E-3</v>
      </c>
      <c r="N187">
        <v>5.6999999999999995E-2</v>
      </c>
      <c r="O187" s="2" t="s">
        <v>228</v>
      </c>
      <c r="P187" t="s">
        <v>79</v>
      </c>
      <c r="Q187" s="19" t="str">
        <f>Tableau1[[#This Row],[Voie de transport]]&amp;Tableau1[[#This Row],[Type de chargement]]</f>
        <v>RuralVrac</v>
      </c>
      <c r="R187" s="19" t="str">
        <f>Tableau1[[#This Row],[Voie X Fret]]&amp;Tableau1[[#This Row],[Densité de chargement ]]</f>
        <v>RuralVracLéger</v>
      </c>
    </row>
    <row r="188" spans="1:18" x14ac:dyDescent="0.3">
      <c r="A188" t="s">
        <v>9</v>
      </c>
      <c r="B188" t="s">
        <v>80</v>
      </c>
      <c r="C188" t="s">
        <v>15</v>
      </c>
      <c r="D188" t="s">
        <v>63</v>
      </c>
      <c r="E188" t="s">
        <v>87</v>
      </c>
      <c r="F188" s="2"/>
      <c r="G188">
        <v>1.1000000000000001</v>
      </c>
      <c r="H188">
        <v>40.799999999999997</v>
      </c>
      <c r="I188" s="61">
        <v>0.74</v>
      </c>
      <c r="J188" t="s">
        <v>35</v>
      </c>
      <c r="K188">
        <v>25</v>
      </c>
      <c r="L188">
        <v>0.1065</v>
      </c>
      <c r="M188">
        <v>4.0000000000000001E-3</v>
      </c>
      <c r="N188">
        <v>3.2999999999999974E-2</v>
      </c>
      <c r="O188" s="2" t="s">
        <v>228</v>
      </c>
      <c r="P188" t="s">
        <v>79</v>
      </c>
      <c r="Q188" s="19" t="str">
        <f>Tableau1[[#This Row],[Voie de transport]]&amp;Tableau1[[#This Row],[Type de chargement]]</f>
        <v>AutorouteVrac</v>
      </c>
      <c r="R188" s="19" t="str">
        <f>Tableau1[[#This Row],[Voie X Fret]]&amp;Tableau1[[#This Row],[Densité de chargement ]]</f>
        <v>AutorouteVracLéger</v>
      </c>
    </row>
    <row r="189" spans="1:18" x14ac:dyDescent="0.3">
      <c r="A189" t="s">
        <v>9</v>
      </c>
      <c r="B189" t="s">
        <v>14</v>
      </c>
      <c r="C189" t="s">
        <v>15</v>
      </c>
      <c r="D189" t="s">
        <v>63</v>
      </c>
      <c r="E189" t="s">
        <v>87</v>
      </c>
      <c r="F189" s="2"/>
      <c r="G189">
        <v>2.7</v>
      </c>
      <c r="H189">
        <v>40.799999999999997</v>
      </c>
      <c r="I189" s="61">
        <v>0.74</v>
      </c>
      <c r="J189" t="s">
        <v>34</v>
      </c>
      <c r="K189">
        <v>188.3</v>
      </c>
      <c r="L189">
        <v>1.1000000000000001E-3</v>
      </c>
      <c r="M189">
        <v>1.7000000000000001E-2</v>
      </c>
      <c r="N189">
        <v>0.627</v>
      </c>
      <c r="O189" s="2" t="s">
        <v>228</v>
      </c>
      <c r="P189" t="s">
        <v>79</v>
      </c>
      <c r="Q189" s="19" t="str">
        <f>Tableau1[[#This Row],[Voie de transport]]&amp;Tableau1[[#This Row],[Type de chargement]]</f>
        <v>UrbainVrac</v>
      </c>
      <c r="R189" s="19" t="str">
        <f>Tableau1[[#This Row],[Voie X Fret]]&amp;Tableau1[[#This Row],[Densité de chargement ]]</f>
        <v>UrbainVracLéger</v>
      </c>
    </row>
    <row r="190" spans="1:18" x14ac:dyDescent="0.3">
      <c r="A190" t="s">
        <v>9</v>
      </c>
      <c r="B190" t="s">
        <v>77</v>
      </c>
      <c r="C190" t="s">
        <v>15</v>
      </c>
      <c r="D190" t="s">
        <v>63</v>
      </c>
      <c r="E190" t="s">
        <v>87</v>
      </c>
      <c r="F190" s="2"/>
      <c r="G190">
        <v>1.7</v>
      </c>
      <c r="H190">
        <v>40.799999999999997</v>
      </c>
      <c r="I190" s="61">
        <v>0.74</v>
      </c>
      <c r="J190" t="s">
        <v>34</v>
      </c>
      <c r="K190">
        <v>118.2</v>
      </c>
      <c r="L190">
        <v>6.9999999999999999E-4</v>
      </c>
      <c r="M190">
        <v>9.0000000000000011E-3</v>
      </c>
      <c r="N190">
        <v>0.373</v>
      </c>
      <c r="O190" s="2" t="s">
        <v>228</v>
      </c>
      <c r="P190" t="s">
        <v>79</v>
      </c>
      <c r="Q190" s="19" t="str">
        <f>Tableau1[[#This Row],[Voie de transport]]&amp;Tableau1[[#This Row],[Type de chargement]]</f>
        <v>RuralVrac</v>
      </c>
      <c r="R190" s="19" t="str">
        <f>Tableau1[[#This Row],[Voie X Fret]]&amp;Tableau1[[#This Row],[Densité de chargement ]]</f>
        <v>RuralVracLéger</v>
      </c>
    </row>
    <row r="191" spans="1:18" x14ac:dyDescent="0.3">
      <c r="A191" t="s">
        <v>9</v>
      </c>
      <c r="B191" t="s">
        <v>80</v>
      </c>
      <c r="C191" t="s">
        <v>15</v>
      </c>
      <c r="D191" t="s">
        <v>63</v>
      </c>
      <c r="E191" t="s">
        <v>87</v>
      </c>
      <c r="F191" s="2"/>
      <c r="G191">
        <v>1.1000000000000001</v>
      </c>
      <c r="H191">
        <v>40.799999999999997</v>
      </c>
      <c r="I191" s="61">
        <v>0.74</v>
      </c>
      <c r="J191" t="s">
        <v>34</v>
      </c>
      <c r="K191">
        <v>79.3</v>
      </c>
      <c r="L191">
        <v>5.0000000000000001E-4</v>
      </c>
      <c r="M191">
        <v>9.0000000000000011E-3</v>
      </c>
      <c r="N191">
        <v>0.25700000000000001</v>
      </c>
      <c r="O191" s="2" t="s">
        <v>228</v>
      </c>
      <c r="P191" t="s">
        <v>79</v>
      </c>
      <c r="Q191" s="19" t="str">
        <f>Tableau1[[#This Row],[Voie de transport]]&amp;Tableau1[[#This Row],[Type de chargement]]</f>
        <v>AutorouteVrac</v>
      </c>
      <c r="R191" s="19" t="str">
        <f>Tableau1[[#This Row],[Voie X Fret]]&amp;Tableau1[[#This Row],[Densité de chargement ]]</f>
        <v>AutorouteVracLéger</v>
      </c>
    </row>
    <row r="192" spans="1:18" x14ac:dyDescent="0.3">
      <c r="A192" t="s">
        <v>9</v>
      </c>
      <c r="B192" t="s">
        <v>14</v>
      </c>
      <c r="C192" t="s">
        <v>54</v>
      </c>
      <c r="D192" t="s">
        <v>63</v>
      </c>
      <c r="E192" t="s">
        <v>82</v>
      </c>
      <c r="F192" s="2"/>
      <c r="G192">
        <v>5.4</v>
      </c>
      <c r="H192">
        <v>1</v>
      </c>
      <c r="I192" s="61">
        <v>0.3</v>
      </c>
      <c r="J192" t="s">
        <v>35</v>
      </c>
      <c r="K192">
        <v>119.5</v>
      </c>
      <c r="L192">
        <v>0.50870000000000004</v>
      </c>
      <c r="M192">
        <v>1.9E-2</v>
      </c>
      <c r="N192">
        <v>0.17300000000000004</v>
      </c>
      <c r="O192" s="2" t="s">
        <v>228</v>
      </c>
      <c r="P192" t="s">
        <v>79</v>
      </c>
      <c r="Q192" s="19" t="str">
        <f>Tableau1[[#This Row],[Voie de transport]]&amp;Tableau1[[#This Row],[Type de chargement]]</f>
        <v>UrbainConteneur</v>
      </c>
      <c r="R192" s="19" t="str">
        <f>Tableau1[[#This Row],[Voie X Fret]]&amp;Tableau1[[#This Row],[Densité de chargement ]]</f>
        <v>UrbainConteneurLéger</v>
      </c>
    </row>
    <row r="193" spans="1:18" x14ac:dyDescent="0.3">
      <c r="A193" t="s">
        <v>9</v>
      </c>
      <c r="B193" t="s">
        <v>77</v>
      </c>
      <c r="C193" t="s">
        <v>54</v>
      </c>
      <c r="D193" t="s">
        <v>63</v>
      </c>
      <c r="E193" t="s">
        <v>82</v>
      </c>
      <c r="F193" s="2"/>
      <c r="G193">
        <v>3.6</v>
      </c>
      <c r="H193">
        <v>1</v>
      </c>
      <c r="I193" s="61">
        <v>0.3</v>
      </c>
      <c r="J193" t="s">
        <v>35</v>
      </c>
      <c r="K193">
        <v>79.600000000000023</v>
      </c>
      <c r="L193">
        <v>0.33950000000000002</v>
      </c>
      <c r="M193">
        <v>1.3000000000000001E-2</v>
      </c>
      <c r="N193">
        <v>0.11599999999999988</v>
      </c>
      <c r="O193" s="2" t="s">
        <v>228</v>
      </c>
      <c r="P193" t="s">
        <v>79</v>
      </c>
      <c r="Q193" s="19" t="str">
        <f>Tableau1[[#This Row],[Voie de transport]]&amp;Tableau1[[#This Row],[Type de chargement]]</f>
        <v>RuralConteneur</v>
      </c>
      <c r="R193" s="19" t="str">
        <f>Tableau1[[#This Row],[Voie X Fret]]&amp;Tableau1[[#This Row],[Densité de chargement ]]</f>
        <v>RuralConteneurLéger</v>
      </c>
    </row>
    <row r="194" spans="1:18" x14ac:dyDescent="0.3">
      <c r="A194" t="s">
        <v>9</v>
      </c>
      <c r="B194" t="s">
        <v>80</v>
      </c>
      <c r="C194" t="s">
        <v>54</v>
      </c>
      <c r="D194" t="s">
        <v>63</v>
      </c>
      <c r="E194" t="s">
        <v>82</v>
      </c>
      <c r="F194" s="2"/>
      <c r="G194">
        <v>3</v>
      </c>
      <c r="H194">
        <v>1</v>
      </c>
      <c r="I194" s="61">
        <v>0.3</v>
      </c>
      <c r="J194" t="s">
        <v>35</v>
      </c>
      <c r="K194">
        <v>65.699999999999989</v>
      </c>
      <c r="L194">
        <v>0.27980000000000005</v>
      </c>
      <c r="M194">
        <v>0.01</v>
      </c>
      <c r="N194">
        <v>9.3999999999999861E-2</v>
      </c>
      <c r="O194" s="2" t="s">
        <v>228</v>
      </c>
      <c r="P194" t="s">
        <v>79</v>
      </c>
      <c r="Q194" s="19" t="str">
        <f>Tableau1[[#This Row],[Voie de transport]]&amp;Tableau1[[#This Row],[Type de chargement]]</f>
        <v>AutorouteConteneur</v>
      </c>
      <c r="R194" s="19" t="str">
        <f>Tableau1[[#This Row],[Voie X Fret]]&amp;Tableau1[[#This Row],[Densité de chargement ]]</f>
        <v>AutorouteConteneurLéger</v>
      </c>
    </row>
    <row r="195" spans="1:18" x14ac:dyDescent="0.3">
      <c r="A195" t="s">
        <v>9</v>
      </c>
      <c r="B195" t="s">
        <v>14</v>
      </c>
      <c r="C195" t="s">
        <v>54</v>
      </c>
      <c r="D195" t="s">
        <v>63</v>
      </c>
      <c r="E195" t="s">
        <v>82</v>
      </c>
      <c r="F195" s="2"/>
      <c r="G195">
        <v>5.4</v>
      </c>
      <c r="H195">
        <v>1</v>
      </c>
      <c r="I195" s="61">
        <v>0.3</v>
      </c>
      <c r="J195" t="s">
        <v>34</v>
      </c>
      <c r="K195">
        <v>378.6</v>
      </c>
      <c r="L195">
        <v>2.3E-3</v>
      </c>
      <c r="M195">
        <v>5.8999999999999997E-2</v>
      </c>
      <c r="N195">
        <v>2.867</v>
      </c>
      <c r="O195" s="2" t="s">
        <v>228</v>
      </c>
      <c r="P195" t="s">
        <v>79</v>
      </c>
      <c r="Q195" s="19" t="str">
        <f>Tableau1[[#This Row],[Voie de transport]]&amp;Tableau1[[#This Row],[Type de chargement]]</f>
        <v>UrbainConteneur</v>
      </c>
      <c r="R195" s="19" t="str">
        <f>Tableau1[[#This Row],[Voie X Fret]]&amp;Tableau1[[#This Row],[Densité de chargement ]]</f>
        <v>UrbainConteneurLéger</v>
      </c>
    </row>
    <row r="196" spans="1:18" x14ac:dyDescent="0.3">
      <c r="A196" t="s">
        <v>9</v>
      </c>
      <c r="B196" t="s">
        <v>77</v>
      </c>
      <c r="C196" t="s">
        <v>54</v>
      </c>
      <c r="D196" t="s">
        <v>63</v>
      </c>
      <c r="E196" t="s">
        <v>82</v>
      </c>
      <c r="F196" s="2"/>
      <c r="G196">
        <v>3.6</v>
      </c>
      <c r="H196">
        <v>1</v>
      </c>
      <c r="I196" s="61">
        <v>0.3</v>
      </c>
      <c r="J196" t="s">
        <v>34</v>
      </c>
      <c r="K196">
        <v>252.2</v>
      </c>
      <c r="L196">
        <v>1.5E-3</v>
      </c>
      <c r="M196">
        <v>3.2000000000000001E-2</v>
      </c>
      <c r="N196">
        <v>1.8340000000000001</v>
      </c>
      <c r="O196" s="2" t="s">
        <v>228</v>
      </c>
      <c r="P196" t="s">
        <v>79</v>
      </c>
      <c r="Q196" s="19" t="str">
        <f>Tableau1[[#This Row],[Voie de transport]]&amp;Tableau1[[#This Row],[Type de chargement]]</f>
        <v>RuralConteneur</v>
      </c>
      <c r="R196" s="19" t="str">
        <f>Tableau1[[#This Row],[Voie X Fret]]&amp;Tableau1[[#This Row],[Densité de chargement ]]</f>
        <v>RuralConteneurLéger</v>
      </c>
    </row>
    <row r="197" spans="1:18" x14ac:dyDescent="0.3">
      <c r="A197" t="s">
        <v>9</v>
      </c>
      <c r="B197" t="s">
        <v>80</v>
      </c>
      <c r="C197" t="s">
        <v>54</v>
      </c>
      <c r="D197" t="s">
        <v>63</v>
      </c>
      <c r="E197" t="s">
        <v>82</v>
      </c>
      <c r="F197" s="2"/>
      <c r="G197">
        <v>3</v>
      </c>
      <c r="H197">
        <v>1</v>
      </c>
      <c r="I197" s="61">
        <v>0.3</v>
      </c>
      <c r="J197" t="s">
        <v>34</v>
      </c>
      <c r="K197">
        <v>208</v>
      </c>
      <c r="L197">
        <v>1.1999999999999999E-3</v>
      </c>
      <c r="M197">
        <v>3.3000000000000002E-2</v>
      </c>
      <c r="N197">
        <v>1.286</v>
      </c>
      <c r="O197" s="2" t="s">
        <v>228</v>
      </c>
      <c r="P197" t="s">
        <v>79</v>
      </c>
      <c r="Q197" s="19" t="str">
        <f>Tableau1[[#This Row],[Voie de transport]]&amp;Tableau1[[#This Row],[Type de chargement]]</f>
        <v>AutorouteConteneur</v>
      </c>
      <c r="R197" s="19" t="str">
        <f>Tableau1[[#This Row],[Voie X Fret]]&amp;Tableau1[[#This Row],[Densité de chargement ]]</f>
        <v>AutorouteConteneurLéger</v>
      </c>
    </row>
    <row r="198" spans="1:18" x14ac:dyDescent="0.3">
      <c r="A198" t="s">
        <v>9</v>
      </c>
      <c r="B198" t="s">
        <v>14</v>
      </c>
      <c r="C198" t="s">
        <v>54</v>
      </c>
      <c r="D198" t="s">
        <v>63</v>
      </c>
      <c r="E198" t="s">
        <v>84</v>
      </c>
      <c r="F198" s="2"/>
      <c r="G198">
        <v>3.2</v>
      </c>
      <c r="H198">
        <v>2</v>
      </c>
      <c r="I198" s="61">
        <v>0.3</v>
      </c>
      <c r="J198" t="s">
        <v>35</v>
      </c>
      <c r="K198">
        <v>71.799999999999983</v>
      </c>
      <c r="L198">
        <v>0.30559999999999998</v>
      </c>
      <c r="M198">
        <v>1.0999999999999999E-2</v>
      </c>
      <c r="N198">
        <v>0.1110000000000001</v>
      </c>
      <c r="O198" s="2" t="s">
        <v>228</v>
      </c>
      <c r="P198" t="s">
        <v>79</v>
      </c>
      <c r="Q198" s="19" t="str">
        <f>Tableau1[[#This Row],[Voie de transport]]&amp;Tableau1[[#This Row],[Type de chargement]]</f>
        <v>UrbainConteneur</v>
      </c>
      <c r="R198" s="19" t="str">
        <f>Tableau1[[#This Row],[Voie X Fret]]&amp;Tableau1[[#This Row],[Densité de chargement ]]</f>
        <v>UrbainConteneurLéger</v>
      </c>
    </row>
    <row r="199" spans="1:18" x14ac:dyDescent="0.3">
      <c r="A199" t="s">
        <v>9</v>
      </c>
      <c r="B199" t="s">
        <v>77</v>
      </c>
      <c r="C199" t="s">
        <v>54</v>
      </c>
      <c r="D199" t="s">
        <v>63</v>
      </c>
      <c r="E199" t="s">
        <v>84</v>
      </c>
      <c r="F199" s="2"/>
      <c r="G199">
        <v>2</v>
      </c>
      <c r="H199">
        <v>2</v>
      </c>
      <c r="I199" s="61">
        <v>0.3</v>
      </c>
      <c r="J199" t="s">
        <v>35</v>
      </c>
      <c r="K199">
        <v>43.300000000000011</v>
      </c>
      <c r="L199">
        <v>0.1852</v>
      </c>
      <c r="M199">
        <v>6.9999999999999993E-3</v>
      </c>
      <c r="N199">
        <v>6.4000000000000057E-2</v>
      </c>
      <c r="O199" s="2" t="s">
        <v>228</v>
      </c>
      <c r="P199" t="s">
        <v>79</v>
      </c>
      <c r="Q199" s="19" t="str">
        <f>Tableau1[[#This Row],[Voie de transport]]&amp;Tableau1[[#This Row],[Type de chargement]]</f>
        <v>RuralConteneur</v>
      </c>
      <c r="R199" s="19" t="str">
        <f>Tableau1[[#This Row],[Voie X Fret]]&amp;Tableau1[[#This Row],[Densité de chargement ]]</f>
        <v>RuralConteneurLéger</v>
      </c>
    </row>
    <row r="200" spans="1:18" x14ac:dyDescent="0.3">
      <c r="A200" t="s">
        <v>9</v>
      </c>
      <c r="B200" t="s">
        <v>80</v>
      </c>
      <c r="C200" t="s">
        <v>54</v>
      </c>
      <c r="D200" t="s">
        <v>63</v>
      </c>
      <c r="E200" t="s">
        <v>84</v>
      </c>
      <c r="F200" s="2"/>
      <c r="G200">
        <v>1.6</v>
      </c>
      <c r="H200">
        <v>2</v>
      </c>
      <c r="I200" s="61">
        <v>0.3</v>
      </c>
      <c r="J200" t="s">
        <v>35</v>
      </c>
      <c r="K200">
        <v>35.5</v>
      </c>
      <c r="L200">
        <v>0.15129999999999999</v>
      </c>
      <c r="M200">
        <v>5.9999999999999993E-3</v>
      </c>
      <c r="N200">
        <v>5.5999999999999994E-2</v>
      </c>
      <c r="O200" s="2" t="s">
        <v>228</v>
      </c>
      <c r="P200" t="s">
        <v>79</v>
      </c>
      <c r="Q200" s="19" t="str">
        <f>Tableau1[[#This Row],[Voie de transport]]&amp;Tableau1[[#This Row],[Type de chargement]]</f>
        <v>AutorouteConteneur</v>
      </c>
      <c r="R200" s="19" t="str">
        <f>Tableau1[[#This Row],[Voie X Fret]]&amp;Tableau1[[#This Row],[Densité de chargement ]]</f>
        <v>AutorouteConteneurLéger</v>
      </c>
    </row>
    <row r="201" spans="1:18" x14ac:dyDescent="0.3">
      <c r="A201" t="s">
        <v>9</v>
      </c>
      <c r="B201" t="s">
        <v>14</v>
      </c>
      <c r="C201" t="s">
        <v>54</v>
      </c>
      <c r="D201" t="s">
        <v>63</v>
      </c>
      <c r="E201" t="s">
        <v>84</v>
      </c>
      <c r="F201" s="2"/>
      <c r="G201">
        <v>3.2</v>
      </c>
      <c r="H201">
        <v>2</v>
      </c>
      <c r="I201" s="61">
        <v>0.3</v>
      </c>
      <c r="J201" t="s">
        <v>34</v>
      </c>
      <c r="K201">
        <v>227.9</v>
      </c>
      <c r="L201">
        <v>1.4E-3</v>
      </c>
      <c r="M201">
        <v>2.5999999999999999E-2</v>
      </c>
      <c r="N201">
        <v>0.999</v>
      </c>
      <c r="O201" s="2" t="s">
        <v>228</v>
      </c>
      <c r="P201" t="s">
        <v>79</v>
      </c>
      <c r="Q201" s="19" t="str">
        <f>Tableau1[[#This Row],[Voie de transport]]&amp;Tableau1[[#This Row],[Type de chargement]]</f>
        <v>UrbainConteneur</v>
      </c>
      <c r="R201" s="19" t="str">
        <f>Tableau1[[#This Row],[Voie X Fret]]&amp;Tableau1[[#This Row],[Densité de chargement ]]</f>
        <v>UrbainConteneurLéger</v>
      </c>
    </row>
    <row r="202" spans="1:18" x14ac:dyDescent="0.3">
      <c r="A202" t="s">
        <v>9</v>
      </c>
      <c r="B202" t="s">
        <v>77</v>
      </c>
      <c r="C202" t="s">
        <v>54</v>
      </c>
      <c r="D202" t="s">
        <v>63</v>
      </c>
      <c r="E202" t="s">
        <v>84</v>
      </c>
      <c r="F202" s="2"/>
      <c r="G202">
        <v>2</v>
      </c>
      <c r="H202">
        <v>2</v>
      </c>
      <c r="I202" s="61">
        <v>0.3</v>
      </c>
      <c r="J202" t="s">
        <v>34</v>
      </c>
      <c r="K202">
        <v>137.69999999999999</v>
      </c>
      <c r="L202">
        <v>8.0000000000000004E-4</v>
      </c>
      <c r="M202">
        <v>1.4E-2</v>
      </c>
      <c r="N202">
        <v>0.58599999999999997</v>
      </c>
      <c r="O202" s="2" t="s">
        <v>228</v>
      </c>
      <c r="P202" t="s">
        <v>79</v>
      </c>
      <c r="Q202" s="19" t="str">
        <f>Tableau1[[#This Row],[Voie de transport]]&amp;Tableau1[[#This Row],[Type de chargement]]</f>
        <v>RuralConteneur</v>
      </c>
      <c r="R202" s="19" t="str">
        <f>Tableau1[[#This Row],[Voie X Fret]]&amp;Tableau1[[#This Row],[Densité de chargement ]]</f>
        <v>RuralConteneurLéger</v>
      </c>
    </row>
    <row r="203" spans="1:18" x14ac:dyDescent="0.3">
      <c r="A203" t="s">
        <v>9</v>
      </c>
      <c r="B203" t="s">
        <v>80</v>
      </c>
      <c r="C203" t="s">
        <v>54</v>
      </c>
      <c r="D203" t="s">
        <v>63</v>
      </c>
      <c r="E203" t="s">
        <v>84</v>
      </c>
      <c r="F203" s="2"/>
      <c r="G203">
        <v>1.6</v>
      </c>
      <c r="H203">
        <v>2</v>
      </c>
      <c r="I203" s="61">
        <v>0.3</v>
      </c>
      <c r="J203" t="s">
        <v>34</v>
      </c>
      <c r="K203">
        <v>112.9</v>
      </c>
      <c r="L203">
        <v>6.9999999999999999E-4</v>
      </c>
      <c r="M203">
        <v>1.4999999999999999E-2</v>
      </c>
      <c r="N203">
        <v>0.38400000000000001</v>
      </c>
      <c r="O203" s="2" t="s">
        <v>228</v>
      </c>
      <c r="P203" t="s">
        <v>79</v>
      </c>
      <c r="Q203" s="19" t="str">
        <f>Tableau1[[#This Row],[Voie de transport]]&amp;Tableau1[[#This Row],[Type de chargement]]</f>
        <v>AutorouteConteneur</v>
      </c>
      <c r="R203" s="19" t="str">
        <f>Tableau1[[#This Row],[Voie X Fret]]&amp;Tableau1[[#This Row],[Densité de chargement ]]</f>
        <v>AutorouteConteneurLéger</v>
      </c>
    </row>
    <row r="204" spans="1:18" x14ac:dyDescent="0.3">
      <c r="A204" t="s">
        <v>9</v>
      </c>
      <c r="B204" t="s">
        <v>14</v>
      </c>
      <c r="C204" t="s">
        <v>54</v>
      </c>
      <c r="D204" t="s">
        <v>63</v>
      </c>
      <c r="E204" t="s">
        <v>86</v>
      </c>
      <c r="F204" s="2"/>
      <c r="G204">
        <v>3.8</v>
      </c>
      <c r="H204">
        <v>2</v>
      </c>
      <c r="I204" s="61">
        <v>0.3</v>
      </c>
      <c r="J204" t="s">
        <v>35</v>
      </c>
      <c r="K204">
        <v>83.5</v>
      </c>
      <c r="L204">
        <v>0.35539999999999999</v>
      </c>
      <c r="M204">
        <v>1.2999999999999999E-2</v>
      </c>
      <c r="N204">
        <v>0.12000000000000011</v>
      </c>
      <c r="O204" s="2" t="s">
        <v>228</v>
      </c>
      <c r="P204" t="s">
        <v>79</v>
      </c>
      <c r="Q204" s="19" t="str">
        <f>Tableau1[[#This Row],[Voie de transport]]&amp;Tableau1[[#This Row],[Type de chargement]]</f>
        <v>UrbainConteneur</v>
      </c>
      <c r="R204" s="19" t="str">
        <f>Tableau1[[#This Row],[Voie X Fret]]&amp;Tableau1[[#This Row],[Densité de chargement ]]</f>
        <v>UrbainConteneurLéger</v>
      </c>
    </row>
    <row r="205" spans="1:18" x14ac:dyDescent="0.3">
      <c r="A205" t="s">
        <v>9</v>
      </c>
      <c r="B205" t="s">
        <v>77</v>
      </c>
      <c r="C205" t="s">
        <v>54</v>
      </c>
      <c r="D205" t="s">
        <v>63</v>
      </c>
      <c r="E205" t="s">
        <v>86</v>
      </c>
      <c r="F205" s="2"/>
      <c r="G205">
        <v>2.4</v>
      </c>
      <c r="H205">
        <v>2</v>
      </c>
      <c r="I205" s="61">
        <v>0.3</v>
      </c>
      <c r="J205" t="s">
        <v>35</v>
      </c>
      <c r="K205">
        <v>52.399999999999977</v>
      </c>
      <c r="L205">
        <v>0.223</v>
      </c>
      <c r="M205">
        <v>9.0000000000000011E-3</v>
      </c>
      <c r="N205">
        <v>7.5000000000000067E-2</v>
      </c>
      <c r="O205" s="2" t="s">
        <v>228</v>
      </c>
      <c r="P205" t="s">
        <v>79</v>
      </c>
      <c r="Q205" s="19" t="str">
        <f>Tableau1[[#This Row],[Voie de transport]]&amp;Tableau1[[#This Row],[Type de chargement]]</f>
        <v>RuralConteneur</v>
      </c>
      <c r="R205" s="19" t="str">
        <f>Tableau1[[#This Row],[Voie X Fret]]&amp;Tableau1[[#This Row],[Densité de chargement ]]</f>
        <v>RuralConteneurLéger</v>
      </c>
    </row>
    <row r="206" spans="1:18" x14ac:dyDescent="0.3">
      <c r="A206" t="s">
        <v>9</v>
      </c>
      <c r="B206" t="s">
        <v>80</v>
      </c>
      <c r="C206" t="s">
        <v>54</v>
      </c>
      <c r="D206" t="s">
        <v>63</v>
      </c>
      <c r="E206" t="s">
        <v>86</v>
      </c>
      <c r="F206" s="2"/>
      <c r="G206">
        <v>1.6</v>
      </c>
      <c r="H206">
        <v>2</v>
      </c>
      <c r="I206" s="61">
        <v>0.3</v>
      </c>
      <c r="J206" t="s">
        <v>35</v>
      </c>
      <c r="K206">
        <v>35.099999999999994</v>
      </c>
      <c r="L206">
        <v>0.14929999999999999</v>
      </c>
      <c r="M206">
        <v>5.9999999999999993E-3</v>
      </c>
      <c r="N206">
        <v>5.099999999999999E-2</v>
      </c>
      <c r="O206" s="2" t="s">
        <v>228</v>
      </c>
      <c r="P206" t="s">
        <v>79</v>
      </c>
      <c r="Q206" s="19" t="str">
        <f>Tableau1[[#This Row],[Voie de transport]]&amp;Tableau1[[#This Row],[Type de chargement]]</f>
        <v>AutorouteConteneur</v>
      </c>
      <c r="R206" s="19" t="str">
        <f>Tableau1[[#This Row],[Voie X Fret]]&amp;Tableau1[[#This Row],[Densité de chargement ]]</f>
        <v>AutorouteConteneurLéger</v>
      </c>
    </row>
    <row r="207" spans="1:18" x14ac:dyDescent="0.3">
      <c r="A207" t="s">
        <v>9</v>
      </c>
      <c r="B207" t="s">
        <v>14</v>
      </c>
      <c r="C207" t="s">
        <v>54</v>
      </c>
      <c r="D207" t="s">
        <v>63</v>
      </c>
      <c r="E207" t="s">
        <v>86</v>
      </c>
      <c r="F207" s="2"/>
      <c r="G207">
        <v>3.8</v>
      </c>
      <c r="H207">
        <v>2</v>
      </c>
      <c r="I207" s="61">
        <v>0.3</v>
      </c>
      <c r="J207" t="s">
        <v>34</v>
      </c>
      <c r="K207">
        <v>265</v>
      </c>
      <c r="L207">
        <v>1.6000000000000001E-3</v>
      </c>
      <c r="M207">
        <v>2.4E-2</v>
      </c>
      <c r="N207">
        <v>0.95</v>
      </c>
      <c r="O207" s="2" t="s">
        <v>228</v>
      </c>
      <c r="P207" t="s">
        <v>79</v>
      </c>
      <c r="Q207" s="19" t="str">
        <f>Tableau1[[#This Row],[Voie de transport]]&amp;Tableau1[[#This Row],[Type de chargement]]</f>
        <v>UrbainConteneur</v>
      </c>
      <c r="R207" s="19" t="str">
        <f>Tableau1[[#This Row],[Voie X Fret]]&amp;Tableau1[[#This Row],[Densité de chargement ]]</f>
        <v>UrbainConteneurLéger</v>
      </c>
    </row>
    <row r="208" spans="1:18" x14ac:dyDescent="0.3">
      <c r="A208" t="s">
        <v>9</v>
      </c>
      <c r="B208" t="s">
        <v>77</v>
      </c>
      <c r="C208" t="s">
        <v>54</v>
      </c>
      <c r="D208" t="s">
        <v>63</v>
      </c>
      <c r="E208" t="s">
        <v>86</v>
      </c>
      <c r="F208" s="2"/>
      <c r="G208">
        <v>2.4</v>
      </c>
      <c r="H208">
        <v>2</v>
      </c>
      <c r="I208" s="61">
        <v>0.3</v>
      </c>
      <c r="J208" t="s">
        <v>34</v>
      </c>
      <c r="K208">
        <v>166.3</v>
      </c>
      <c r="L208">
        <v>1E-3</v>
      </c>
      <c r="M208">
        <v>1.3000000000000001E-2</v>
      </c>
      <c r="N208">
        <v>0.56499999999999995</v>
      </c>
      <c r="O208" s="2" t="s">
        <v>228</v>
      </c>
      <c r="P208" t="s">
        <v>79</v>
      </c>
      <c r="Q208" s="19" t="str">
        <f>Tableau1[[#This Row],[Voie de transport]]&amp;Tableau1[[#This Row],[Type de chargement]]</f>
        <v>RuralConteneur</v>
      </c>
      <c r="R208" s="19" t="str">
        <f>Tableau1[[#This Row],[Voie X Fret]]&amp;Tableau1[[#This Row],[Densité de chargement ]]</f>
        <v>RuralConteneurLéger</v>
      </c>
    </row>
    <row r="209" spans="1:18" x14ac:dyDescent="0.3">
      <c r="A209" t="s">
        <v>9</v>
      </c>
      <c r="B209" t="s">
        <v>80</v>
      </c>
      <c r="C209" t="s">
        <v>54</v>
      </c>
      <c r="D209" t="s">
        <v>63</v>
      </c>
      <c r="E209" t="s">
        <v>86</v>
      </c>
      <c r="F209" s="2"/>
      <c r="G209">
        <v>1.6</v>
      </c>
      <c r="H209">
        <v>2</v>
      </c>
      <c r="I209" s="61">
        <v>0.3</v>
      </c>
      <c r="J209" t="s">
        <v>34</v>
      </c>
      <c r="K209">
        <v>111.6</v>
      </c>
      <c r="L209">
        <v>6.9999999999999999E-4</v>
      </c>
      <c r="M209">
        <v>1.2E-2</v>
      </c>
      <c r="N209">
        <v>0.38900000000000001</v>
      </c>
      <c r="O209" s="2" t="s">
        <v>228</v>
      </c>
      <c r="P209" t="s">
        <v>79</v>
      </c>
      <c r="Q209" s="19" t="str">
        <f>Tableau1[[#This Row],[Voie de transport]]&amp;Tableau1[[#This Row],[Type de chargement]]</f>
        <v>AutorouteConteneur</v>
      </c>
      <c r="R209" s="19" t="str">
        <f>Tableau1[[#This Row],[Voie X Fret]]&amp;Tableau1[[#This Row],[Densité de chargement ]]</f>
        <v>AutorouteConteneurLéger</v>
      </c>
    </row>
    <row r="210" spans="1:18" x14ac:dyDescent="0.3">
      <c r="A210" t="s">
        <v>9</v>
      </c>
      <c r="B210" t="s">
        <v>14</v>
      </c>
      <c r="C210" t="s">
        <v>54</v>
      </c>
      <c r="D210" t="s">
        <v>63</v>
      </c>
      <c r="E210" t="s">
        <v>87</v>
      </c>
      <c r="F210" s="2"/>
      <c r="G210">
        <v>3.4</v>
      </c>
      <c r="H210">
        <v>3</v>
      </c>
      <c r="I210" s="61">
        <v>0.3</v>
      </c>
      <c r="J210" t="s">
        <v>35</v>
      </c>
      <c r="K210">
        <v>75.200000000000017</v>
      </c>
      <c r="L210">
        <v>0.3206</v>
      </c>
      <c r="M210">
        <v>1.2E-2</v>
      </c>
      <c r="N210">
        <v>0.11399999999999999</v>
      </c>
      <c r="O210" s="2" t="s">
        <v>228</v>
      </c>
      <c r="P210" t="s">
        <v>79</v>
      </c>
      <c r="Q210" s="19" t="str">
        <f>Tableau1[[#This Row],[Voie de transport]]&amp;Tableau1[[#This Row],[Type de chargement]]</f>
        <v>UrbainConteneur</v>
      </c>
      <c r="R210" s="19" t="str">
        <f>Tableau1[[#This Row],[Voie X Fret]]&amp;Tableau1[[#This Row],[Densité de chargement ]]</f>
        <v>UrbainConteneurLéger</v>
      </c>
    </row>
    <row r="211" spans="1:18" x14ac:dyDescent="0.3">
      <c r="A211" t="s">
        <v>9</v>
      </c>
      <c r="B211" t="s">
        <v>77</v>
      </c>
      <c r="C211" t="s">
        <v>54</v>
      </c>
      <c r="D211" t="s">
        <v>63</v>
      </c>
      <c r="E211" t="s">
        <v>87</v>
      </c>
      <c r="F211" s="2"/>
      <c r="G211">
        <v>2.1</v>
      </c>
      <c r="H211">
        <v>3</v>
      </c>
      <c r="I211" s="61">
        <v>0.3</v>
      </c>
      <c r="J211" t="s">
        <v>35</v>
      </c>
      <c r="K211">
        <v>47.100000000000023</v>
      </c>
      <c r="L211">
        <v>0.2011</v>
      </c>
      <c r="M211">
        <v>8.0000000000000002E-3</v>
      </c>
      <c r="N211">
        <v>6.9000000000000061E-2</v>
      </c>
      <c r="O211" s="2" t="s">
        <v>228</v>
      </c>
      <c r="P211" t="s">
        <v>79</v>
      </c>
      <c r="Q211" s="19" t="str">
        <f>Tableau1[[#This Row],[Voie de transport]]&amp;Tableau1[[#This Row],[Type de chargement]]</f>
        <v>RuralConteneur</v>
      </c>
      <c r="R211" s="19" t="str">
        <f>Tableau1[[#This Row],[Voie X Fret]]&amp;Tableau1[[#This Row],[Densité de chargement ]]</f>
        <v>RuralConteneurLéger</v>
      </c>
    </row>
    <row r="212" spans="1:18" x14ac:dyDescent="0.3">
      <c r="A212" t="s">
        <v>9</v>
      </c>
      <c r="B212" t="s">
        <v>80</v>
      </c>
      <c r="C212" t="s">
        <v>54</v>
      </c>
      <c r="D212" t="s">
        <v>63</v>
      </c>
      <c r="E212" t="s">
        <v>87</v>
      </c>
      <c r="F212" s="2"/>
      <c r="G212">
        <v>1.4</v>
      </c>
      <c r="H212">
        <v>3</v>
      </c>
      <c r="I212" s="61">
        <v>0.3</v>
      </c>
      <c r="J212" t="s">
        <v>35</v>
      </c>
      <c r="K212">
        <v>31.599999999999994</v>
      </c>
      <c r="L212">
        <v>0.13440000000000002</v>
      </c>
      <c r="M212">
        <v>5.0000000000000001E-3</v>
      </c>
      <c r="N212">
        <v>5.099999999999999E-2</v>
      </c>
      <c r="O212" s="2" t="s">
        <v>228</v>
      </c>
      <c r="P212" t="s">
        <v>79</v>
      </c>
      <c r="Q212" s="19" t="str">
        <f>Tableau1[[#This Row],[Voie de transport]]&amp;Tableau1[[#This Row],[Type de chargement]]</f>
        <v>AutorouteConteneur</v>
      </c>
      <c r="R212" s="19" t="str">
        <f>Tableau1[[#This Row],[Voie X Fret]]&amp;Tableau1[[#This Row],[Densité de chargement ]]</f>
        <v>AutorouteConteneurLéger</v>
      </c>
    </row>
    <row r="213" spans="1:18" x14ac:dyDescent="0.3">
      <c r="A213" t="s">
        <v>9</v>
      </c>
      <c r="B213" t="s">
        <v>14</v>
      </c>
      <c r="C213" t="s">
        <v>54</v>
      </c>
      <c r="D213" t="s">
        <v>63</v>
      </c>
      <c r="E213" t="s">
        <v>87</v>
      </c>
      <c r="F213" s="2"/>
      <c r="G213">
        <v>3.4</v>
      </c>
      <c r="H213">
        <v>3</v>
      </c>
      <c r="I213" s="61">
        <v>0.3</v>
      </c>
      <c r="J213" t="s">
        <v>34</v>
      </c>
      <c r="K213">
        <v>238.4</v>
      </c>
      <c r="L213">
        <v>1.4E-3</v>
      </c>
      <c r="M213">
        <v>2.0999999999999998E-2</v>
      </c>
      <c r="N213">
        <v>0.82599999999999996</v>
      </c>
      <c r="O213" s="2" t="s">
        <v>228</v>
      </c>
      <c r="P213" t="s">
        <v>79</v>
      </c>
      <c r="Q213" s="19" t="str">
        <f>Tableau1[[#This Row],[Voie de transport]]&amp;Tableau1[[#This Row],[Type de chargement]]</f>
        <v>UrbainConteneur</v>
      </c>
      <c r="R213" s="19" t="str">
        <f>Tableau1[[#This Row],[Voie X Fret]]&amp;Tableau1[[#This Row],[Densité de chargement ]]</f>
        <v>UrbainConteneurLéger</v>
      </c>
    </row>
    <row r="214" spans="1:18" x14ac:dyDescent="0.3">
      <c r="A214" t="s">
        <v>9</v>
      </c>
      <c r="B214" t="s">
        <v>77</v>
      </c>
      <c r="C214" t="s">
        <v>54</v>
      </c>
      <c r="D214" t="s">
        <v>63</v>
      </c>
      <c r="E214" t="s">
        <v>87</v>
      </c>
      <c r="F214" s="2"/>
      <c r="G214">
        <v>2.1</v>
      </c>
      <c r="H214">
        <v>3</v>
      </c>
      <c r="I214" s="61">
        <v>0.3</v>
      </c>
      <c r="J214" t="s">
        <v>34</v>
      </c>
      <c r="K214">
        <v>149.69999999999999</v>
      </c>
      <c r="L214">
        <v>8.9999999999999998E-4</v>
      </c>
      <c r="M214">
        <v>1.0999999999999999E-2</v>
      </c>
      <c r="N214">
        <v>0.49099999999999999</v>
      </c>
      <c r="O214" s="2" t="s">
        <v>228</v>
      </c>
      <c r="P214" t="s">
        <v>79</v>
      </c>
      <c r="Q214" s="19" t="str">
        <f>Tableau1[[#This Row],[Voie de transport]]&amp;Tableau1[[#This Row],[Type de chargement]]</f>
        <v>RuralConteneur</v>
      </c>
      <c r="R214" s="19" t="str">
        <f>Tableau1[[#This Row],[Voie X Fret]]&amp;Tableau1[[#This Row],[Densité de chargement ]]</f>
        <v>RuralConteneurLéger</v>
      </c>
    </row>
    <row r="215" spans="1:18" x14ac:dyDescent="0.3">
      <c r="A215" t="s">
        <v>9</v>
      </c>
      <c r="B215" t="s">
        <v>80</v>
      </c>
      <c r="C215" t="s">
        <v>54</v>
      </c>
      <c r="D215" t="s">
        <v>63</v>
      </c>
      <c r="E215" t="s">
        <v>87</v>
      </c>
      <c r="F215" s="2"/>
      <c r="G215">
        <v>1.4</v>
      </c>
      <c r="H215">
        <v>3</v>
      </c>
      <c r="I215" s="61">
        <v>0.3</v>
      </c>
      <c r="J215" t="s">
        <v>34</v>
      </c>
      <c r="K215">
        <v>100.5</v>
      </c>
      <c r="L215">
        <v>5.9999999999999995E-4</v>
      </c>
      <c r="M215">
        <v>1.0999999999999999E-2</v>
      </c>
      <c r="N215">
        <v>0.33900000000000002</v>
      </c>
      <c r="O215" s="2" t="s">
        <v>228</v>
      </c>
      <c r="P215" t="s">
        <v>79</v>
      </c>
      <c r="Q215" s="19" t="str">
        <f>Tableau1[[#This Row],[Voie de transport]]&amp;Tableau1[[#This Row],[Type de chargement]]</f>
        <v>AutorouteConteneur</v>
      </c>
      <c r="R215" s="19" t="str">
        <f>Tableau1[[#This Row],[Voie X Fret]]&amp;Tableau1[[#This Row],[Densité de chargement ]]</f>
        <v>AutorouteConteneurLéger</v>
      </c>
    </row>
    <row r="216" spans="1:18" x14ac:dyDescent="0.3">
      <c r="A216" t="s">
        <v>9</v>
      </c>
      <c r="B216" t="s">
        <v>14</v>
      </c>
      <c r="C216" t="s">
        <v>15</v>
      </c>
      <c r="D216" t="s">
        <v>19</v>
      </c>
      <c r="E216" t="s">
        <v>78</v>
      </c>
      <c r="F216" s="2"/>
      <c r="G216">
        <v>10.4</v>
      </c>
      <c r="H216">
        <v>1</v>
      </c>
      <c r="I216" s="61">
        <v>0.21</v>
      </c>
      <c r="J216" t="s">
        <v>35</v>
      </c>
      <c r="K216">
        <v>230.5</v>
      </c>
      <c r="L216">
        <v>0.98560000000000003</v>
      </c>
      <c r="M216">
        <v>4.1999999999999996E-2</v>
      </c>
      <c r="N216">
        <v>0.35999999999999988</v>
      </c>
      <c r="O216" s="2" t="s">
        <v>228</v>
      </c>
      <c r="P216" t="s">
        <v>79</v>
      </c>
      <c r="Q216" s="19" t="str">
        <f>Tableau1[[#This Row],[Voie de transport]]&amp;Tableau1[[#This Row],[Type de chargement]]</f>
        <v>UrbainVrac</v>
      </c>
      <c r="R216" s="19" t="str">
        <f>Tableau1[[#This Row],[Voie X Fret]]&amp;Tableau1[[#This Row],[Densité de chargement ]]</f>
        <v>UrbainVracMoyen</v>
      </c>
    </row>
    <row r="217" spans="1:18" x14ac:dyDescent="0.3">
      <c r="A217" t="s">
        <v>9</v>
      </c>
      <c r="B217" t="s">
        <v>77</v>
      </c>
      <c r="C217" t="s">
        <v>15</v>
      </c>
      <c r="D217" t="s">
        <v>19</v>
      </c>
      <c r="E217" t="s">
        <v>78</v>
      </c>
      <c r="F217" s="2"/>
      <c r="G217">
        <v>7.8</v>
      </c>
      <c r="H217">
        <v>1</v>
      </c>
      <c r="I217" s="61">
        <v>0.21</v>
      </c>
      <c r="J217" t="s">
        <v>35</v>
      </c>
      <c r="K217">
        <v>171.70000000000005</v>
      </c>
      <c r="L217">
        <v>0.7268</v>
      </c>
      <c r="M217">
        <v>1.1999999999999997E-2</v>
      </c>
      <c r="N217">
        <v>0.24000000000000021</v>
      </c>
      <c r="O217" s="2" t="s">
        <v>228</v>
      </c>
      <c r="P217" t="s">
        <v>79</v>
      </c>
      <c r="Q217" s="19" t="str">
        <f>Tableau1[[#This Row],[Voie de transport]]&amp;Tableau1[[#This Row],[Type de chargement]]</f>
        <v>RuralVrac</v>
      </c>
      <c r="R217" s="19" t="str">
        <f>Tableau1[[#This Row],[Voie X Fret]]&amp;Tableau1[[#This Row],[Densité de chargement ]]</f>
        <v>RuralVracMoyen</v>
      </c>
    </row>
    <row r="218" spans="1:18" x14ac:dyDescent="0.3">
      <c r="A218" t="s">
        <v>9</v>
      </c>
      <c r="B218" t="s">
        <v>80</v>
      </c>
      <c r="C218" t="s">
        <v>15</v>
      </c>
      <c r="D218" t="s">
        <v>19</v>
      </c>
      <c r="E218" t="s">
        <v>78</v>
      </c>
      <c r="F218" s="2"/>
      <c r="G218">
        <v>10.1</v>
      </c>
      <c r="H218">
        <v>1</v>
      </c>
      <c r="I218" s="61">
        <v>0.21</v>
      </c>
      <c r="J218" t="s">
        <v>35</v>
      </c>
      <c r="K218">
        <v>222.69999999999993</v>
      </c>
      <c r="L218">
        <v>0.94579999999999997</v>
      </c>
      <c r="M218">
        <v>5.2000000000000005E-2</v>
      </c>
      <c r="N218">
        <v>0.3400000000000003</v>
      </c>
      <c r="O218" s="2" t="s">
        <v>228</v>
      </c>
      <c r="P218" t="s">
        <v>79</v>
      </c>
      <c r="Q218" s="19" t="str">
        <f>Tableau1[[#This Row],[Voie de transport]]&amp;Tableau1[[#This Row],[Type de chargement]]</f>
        <v>AutorouteVrac</v>
      </c>
      <c r="R218" s="19" t="str">
        <f>Tableau1[[#This Row],[Voie X Fret]]&amp;Tableau1[[#This Row],[Densité de chargement ]]</f>
        <v>AutorouteVracMoyen</v>
      </c>
    </row>
    <row r="219" spans="1:18" x14ac:dyDescent="0.3">
      <c r="A219" t="s">
        <v>9</v>
      </c>
      <c r="B219" t="s">
        <v>14</v>
      </c>
      <c r="C219" t="s">
        <v>15</v>
      </c>
      <c r="D219" t="s">
        <v>19</v>
      </c>
      <c r="E219" t="s">
        <v>78</v>
      </c>
      <c r="F219" s="2"/>
      <c r="G219">
        <v>10.4</v>
      </c>
      <c r="H219">
        <v>1</v>
      </c>
      <c r="I219" s="61">
        <v>0.21</v>
      </c>
      <c r="J219" t="s">
        <v>34</v>
      </c>
      <c r="K219">
        <v>721.2</v>
      </c>
      <c r="L219">
        <v>4.4000000000000003E-3</v>
      </c>
      <c r="M219">
        <v>0.121</v>
      </c>
      <c r="N219">
        <v>3.2</v>
      </c>
      <c r="O219" s="2" t="s">
        <v>228</v>
      </c>
      <c r="P219" t="s">
        <v>79</v>
      </c>
      <c r="Q219" s="19" t="str">
        <f>Tableau1[[#This Row],[Voie de transport]]&amp;Tableau1[[#This Row],[Type de chargement]]</f>
        <v>UrbainVrac</v>
      </c>
      <c r="R219" s="19" t="str">
        <f>Tableau1[[#This Row],[Voie X Fret]]&amp;Tableau1[[#This Row],[Densité de chargement ]]</f>
        <v>UrbainVracMoyen</v>
      </c>
    </row>
    <row r="220" spans="1:18" x14ac:dyDescent="0.3">
      <c r="A220" t="s">
        <v>9</v>
      </c>
      <c r="B220" t="s">
        <v>77</v>
      </c>
      <c r="C220" t="s">
        <v>15</v>
      </c>
      <c r="D220" t="s">
        <v>19</v>
      </c>
      <c r="E220" t="s">
        <v>78</v>
      </c>
      <c r="F220" s="2"/>
      <c r="G220">
        <v>7.8</v>
      </c>
      <c r="H220">
        <v>1</v>
      </c>
      <c r="I220" s="61">
        <v>0.21</v>
      </c>
      <c r="J220" t="s">
        <v>34</v>
      </c>
      <c r="K220">
        <v>537.5</v>
      </c>
      <c r="L220">
        <v>3.2000000000000002E-3</v>
      </c>
      <c r="M220">
        <v>6.7000000000000004E-2</v>
      </c>
      <c r="N220">
        <v>2.4</v>
      </c>
      <c r="O220" s="2" t="s">
        <v>228</v>
      </c>
      <c r="P220" t="s">
        <v>79</v>
      </c>
      <c r="Q220" s="19" t="str">
        <f>Tableau1[[#This Row],[Voie de transport]]&amp;Tableau1[[#This Row],[Type de chargement]]</f>
        <v>RuralVrac</v>
      </c>
      <c r="R220" s="19" t="str">
        <f>Tableau1[[#This Row],[Voie X Fret]]&amp;Tableau1[[#This Row],[Densité de chargement ]]</f>
        <v>RuralVracMoyen</v>
      </c>
    </row>
    <row r="221" spans="1:18" x14ac:dyDescent="0.3">
      <c r="A221" t="s">
        <v>9</v>
      </c>
      <c r="B221" t="s">
        <v>80</v>
      </c>
      <c r="C221" t="s">
        <v>15</v>
      </c>
      <c r="D221" t="s">
        <v>19</v>
      </c>
      <c r="E221" t="s">
        <v>78</v>
      </c>
      <c r="F221" s="2"/>
      <c r="G221">
        <v>10.1</v>
      </c>
      <c r="H221">
        <v>1</v>
      </c>
      <c r="I221" s="61">
        <v>0.21</v>
      </c>
      <c r="J221" t="s">
        <v>34</v>
      </c>
      <c r="K221">
        <v>697.1</v>
      </c>
      <c r="L221">
        <v>4.1999999999999997E-3</v>
      </c>
      <c r="M221">
        <v>0.10100000000000001</v>
      </c>
      <c r="N221">
        <v>2.9</v>
      </c>
      <c r="O221" s="2" t="s">
        <v>228</v>
      </c>
      <c r="P221" t="s">
        <v>79</v>
      </c>
      <c r="Q221" s="19" t="str">
        <f>Tableau1[[#This Row],[Voie de transport]]&amp;Tableau1[[#This Row],[Type de chargement]]</f>
        <v>AutorouteVrac</v>
      </c>
      <c r="R221" s="19" t="str">
        <f>Tableau1[[#This Row],[Voie X Fret]]&amp;Tableau1[[#This Row],[Densité de chargement ]]</f>
        <v>AutorouteVracMoyen</v>
      </c>
    </row>
    <row r="222" spans="1:18" x14ac:dyDescent="0.3">
      <c r="A222" t="s">
        <v>9</v>
      </c>
      <c r="B222" t="s">
        <v>14</v>
      </c>
      <c r="C222" t="s">
        <v>15</v>
      </c>
      <c r="D222" t="s">
        <v>19</v>
      </c>
      <c r="E222" t="s">
        <v>23</v>
      </c>
      <c r="F222" s="2"/>
      <c r="G222">
        <v>5.4</v>
      </c>
      <c r="H222">
        <v>3</v>
      </c>
      <c r="I222" s="61">
        <v>0.27</v>
      </c>
      <c r="J222" t="s">
        <v>35</v>
      </c>
      <c r="K222">
        <v>120</v>
      </c>
      <c r="L222">
        <v>0.51070000000000004</v>
      </c>
      <c r="M222">
        <v>1.9999999999999997E-2</v>
      </c>
      <c r="N222">
        <v>0.17899999999999938</v>
      </c>
      <c r="O222" s="2" t="s">
        <v>228</v>
      </c>
      <c r="P222" t="s">
        <v>79</v>
      </c>
      <c r="Q222" s="19" t="str">
        <f>Tableau1[[#This Row],[Voie de transport]]&amp;Tableau1[[#This Row],[Type de chargement]]</f>
        <v>UrbainVrac</v>
      </c>
      <c r="R222" s="19" t="str">
        <f>Tableau1[[#This Row],[Voie X Fret]]&amp;Tableau1[[#This Row],[Densité de chargement ]]</f>
        <v>UrbainVracMoyen</v>
      </c>
    </row>
    <row r="223" spans="1:18" x14ac:dyDescent="0.3">
      <c r="A223" t="s">
        <v>9</v>
      </c>
      <c r="B223" t="s">
        <v>77</v>
      </c>
      <c r="C223" t="s">
        <v>15</v>
      </c>
      <c r="D223" t="s">
        <v>19</v>
      </c>
      <c r="E223" t="s">
        <v>23</v>
      </c>
      <c r="F223" s="2"/>
      <c r="G223">
        <v>3.7</v>
      </c>
      <c r="H223">
        <v>3</v>
      </c>
      <c r="I223" s="61">
        <v>0.27</v>
      </c>
      <c r="J223" t="s">
        <v>35</v>
      </c>
      <c r="K223">
        <v>81.200000000000017</v>
      </c>
      <c r="L223">
        <v>0.34549999999999997</v>
      </c>
      <c r="M223">
        <v>0</v>
      </c>
      <c r="N223">
        <v>0.11999999999999966</v>
      </c>
      <c r="O223" s="2" t="s">
        <v>228</v>
      </c>
      <c r="P223" t="s">
        <v>79</v>
      </c>
      <c r="Q223" s="19" t="str">
        <f>Tableau1[[#This Row],[Voie de transport]]&amp;Tableau1[[#This Row],[Type de chargement]]</f>
        <v>RuralVrac</v>
      </c>
      <c r="R223" s="19" t="str">
        <f>Tableau1[[#This Row],[Voie X Fret]]&amp;Tableau1[[#This Row],[Densité de chargement ]]</f>
        <v>RuralVracMoyen</v>
      </c>
    </row>
    <row r="224" spans="1:18" x14ac:dyDescent="0.3">
      <c r="A224" t="s">
        <v>9</v>
      </c>
      <c r="B224" t="s">
        <v>80</v>
      </c>
      <c r="C224" t="s">
        <v>15</v>
      </c>
      <c r="D224" t="s">
        <v>19</v>
      </c>
      <c r="E224" t="s">
        <v>23</v>
      </c>
      <c r="F224" s="2"/>
      <c r="G224">
        <v>3.3</v>
      </c>
      <c r="H224">
        <v>3</v>
      </c>
      <c r="I224" s="61">
        <v>0.27</v>
      </c>
      <c r="J224" t="s">
        <v>35</v>
      </c>
      <c r="K224">
        <v>73.800000000000011</v>
      </c>
      <c r="L224">
        <v>0.31459999999999999</v>
      </c>
      <c r="M224">
        <v>0</v>
      </c>
      <c r="N224">
        <v>0.10899999999999999</v>
      </c>
      <c r="O224" s="2" t="s">
        <v>228</v>
      </c>
      <c r="P224" t="s">
        <v>79</v>
      </c>
      <c r="Q224" s="19" t="str">
        <f>Tableau1[[#This Row],[Voie de transport]]&amp;Tableau1[[#This Row],[Type de chargement]]</f>
        <v>AutorouteVrac</v>
      </c>
      <c r="R224" s="19" t="str">
        <f>Tableau1[[#This Row],[Voie X Fret]]&amp;Tableau1[[#This Row],[Densité de chargement ]]</f>
        <v>AutorouteVracMoyen</v>
      </c>
    </row>
    <row r="225" spans="1:18" x14ac:dyDescent="0.3">
      <c r="A225" t="s">
        <v>9</v>
      </c>
      <c r="B225" t="s">
        <v>14</v>
      </c>
      <c r="C225" t="s">
        <v>15</v>
      </c>
      <c r="D225" t="s">
        <v>19</v>
      </c>
      <c r="E225" t="s">
        <v>23</v>
      </c>
      <c r="F225" s="2"/>
      <c r="G225">
        <v>5.4</v>
      </c>
      <c r="H225">
        <v>3</v>
      </c>
      <c r="I225" s="61">
        <v>0.27</v>
      </c>
      <c r="J225" t="s">
        <v>34</v>
      </c>
      <c r="K225">
        <v>376.3</v>
      </c>
      <c r="L225">
        <v>2.3E-3</v>
      </c>
      <c r="M225">
        <v>0.13800000000000001</v>
      </c>
      <c r="N225">
        <v>4.0410000000000004</v>
      </c>
      <c r="O225" s="2" t="s">
        <v>228</v>
      </c>
      <c r="P225" t="s">
        <v>79</v>
      </c>
      <c r="Q225" s="19" t="str">
        <f>Tableau1[[#This Row],[Voie de transport]]&amp;Tableau1[[#This Row],[Type de chargement]]</f>
        <v>UrbainVrac</v>
      </c>
      <c r="R225" s="19" t="str">
        <f>Tableau1[[#This Row],[Voie X Fret]]&amp;Tableau1[[#This Row],[Densité de chargement ]]</f>
        <v>UrbainVracMoyen</v>
      </c>
    </row>
    <row r="226" spans="1:18" x14ac:dyDescent="0.3">
      <c r="A226" t="s">
        <v>9</v>
      </c>
      <c r="B226" t="s">
        <v>77</v>
      </c>
      <c r="C226" t="s">
        <v>15</v>
      </c>
      <c r="D226" t="s">
        <v>19</v>
      </c>
      <c r="E226" t="s">
        <v>23</v>
      </c>
      <c r="F226" s="2"/>
      <c r="G226">
        <v>3.7</v>
      </c>
      <c r="H226">
        <v>3</v>
      </c>
      <c r="I226" s="61">
        <v>0.27</v>
      </c>
      <c r="J226" t="s">
        <v>34</v>
      </c>
      <c r="K226">
        <v>254.9</v>
      </c>
      <c r="L226">
        <v>1.5E-3</v>
      </c>
      <c r="M226">
        <v>7.6999999999999999E-2</v>
      </c>
      <c r="N226">
        <v>2.4500000000000002</v>
      </c>
      <c r="O226" s="2" t="s">
        <v>228</v>
      </c>
      <c r="P226" t="s">
        <v>79</v>
      </c>
      <c r="Q226" s="19" t="str">
        <f>Tableau1[[#This Row],[Voie de transport]]&amp;Tableau1[[#This Row],[Type de chargement]]</f>
        <v>RuralVrac</v>
      </c>
      <c r="R226" s="19" t="str">
        <f>Tableau1[[#This Row],[Voie X Fret]]&amp;Tableau1[[#This Row],[Densité de chargement ]]</f>
        <v>RuralVracMoyen</v>
      </c>
    </row>
    <row r="227" spans="1:18" x14ac:dyDescent="0.3">
      <c r="A227" t="s">
        <v>9</v>
      </c>
      <c r="B227" t="s">
        <v>80</v>
      </c>
      <c r="C227" t="s">
        <v>15</v>
      </c>
      <c r="D227" t="s">
        <v>19</v>
      </c>
      <c r="E227" t="s">
        <v>23</v>
      </c>
      <c r="F227" s="2"/>
      <c r="G227">
        <v>3.3</v>
      </c>
      <c r="H227">
        <v>3</v>
      </c>
      <c r="I227" s="61">
        <v>0.27</v>
      </c>
      <c r="J227" t="s">
        <v>34</v>
      </c>
      <c r="K227">
        <v>231.5</v>
      </c>
      <c r="L227">
        <v>1.4E-3</v>
      </c>
      <c r="M227">
        <v>7.6999999999999999E-2</v>
      </c>
      <c r="N227">
        <v>2.1909999999999998</v>
      </c>
      <c r="O227" s="2" t="s">
        <v>228</v>
      </c>
      <c r="P227" t="s">
        <v>79</v>
      </c>
      <c r="Q227" s="19" t="str">
        <f>Tableau1[[#This Row],[Voie de transport]]&amp;Tableau1[[#This Row],[Type de chargement]]</f>
        <v>AutorouteVrac</v>
      </c>
      <c r="R227" s="19" t="str">
        <f>Tableau1[[#This Row],[Voie X Fret]]&amp;Tableau1[[#This Row],[Densité de chargement ]]</f>
        <v>AutorouteVracMoyen</v>
      </c>
    </row>
    <row r="228" spans="1:18" x14ac:dyDescent="0.3">
      <c r="A228" t="s">
        <v>9</v>
      </c>
      <c r="B228" t="s">
        <v>14</v>
      </c>
      <c r="C228" t="s">
        <v>15</v>
      </c>
      <c r="D228" t="s">
        <v>19</v>
      </c>
      <c r="E228" t="s">
        <v>81</v>
      </c>
      <c r="F228" s="2"/>
      <c r="G228">
        <v>4</v>
      </c>
      <c r="H228">
        <v>7.5</v>
      </c>
      <c r="I228" s="61">
        <v>0.25</v>
      </c>
      <c r="J228" t="s">
        <v>35</v>
      </c>
      <c r="K228">
        <v>88.899999999999977</v>
      </c>
      <c r="L228">
        <v>0.37830000000000003</v>
      </c>
      <c r="M228">
        <v>1.3999999999999999E-2</v>
      </c>
      <c r="N228">
        <v>0.129</v>
      </c>
      <c r="O228" s="2" t="s">
        <v>228</v>
      </c>
      <c r="P228" t="s">
        <v>79</v>
      </c>
      <c r="Q228" s="19" t="str">
        <f>Tableau1[[#This Row],[Voie de transport]]&amp;Tableau1[[#This Row],[Type de chargement]]</f>
        <v>UrbainVrac</v>
      </c>
      <c r="R228" s="19" t="str">
        <f>Tableau1[[#This Row],[Voie X Fret]]&amp;Tableau1[[#This Row],[Densité de chargement ]]</f>
        <v>UrbainVracMoyen</v>
      </c>
    </row>
    <row r="229" spans="1:18" x14ac:dyDescent="0.3">
      <c r="A229" t="s">
        <v>9</v>
      </c>
      <c r="B229" t="s">
        <v>77</v>
      </c>
      <c r="C229" t="s">
        <v>15</v>
      </c>
      <c r="D229" t="s">
        <v>19</v>
      </c>
      <c r="E229" t="s">
        <v>81</v>
      </c>
      <c r="F229" s="2"/>
      <c r="G229">
        <v>2.7</v>
      </c>
      <c r="H229">
        <v>7.5</v>
      </c>
      <c r="I229" s="61">
        <v>0.25</v>
      </c>
      <c r="J229" t="s">
        <v>35</v>
      </c>
      <c r="K229">
        <v>59.300000000000011</v>
      </c>
      <c r="L229">
        <v>0.25290000000000001</v>
      </c>
      <c r="M229">
        <v>0</v>
      </c>
      <c r="N229">
        <v>9.2000000000000082E-2</v>
      </c>
      <c r="O229" s="2" t="s">
        <v>228</v>
      </c>
      <c r="P229" t="s">
        <v>79</v>
      </c>
      <c r="Q229" s="19" t="str">
        <f>Tableau1[[#This Row],[Voie de transport]]&amp;Tableau1[[#This Row],[Type de chargement]]</f>
        <v>RuralVrac</v>
      </c>
      <c r="R229" s="19" t="str">
        <f>Tableau1[[#This Row],[Voie X Fret]]&amp;Tableau1[[#This Row],[Densité de chargement ]]</f>
        <v>RuralVracMoyen</v>
      </c>
    </row>
    <row r="230" spans="1:18" x14ac:dyDescent="0.3">
      <c r="A230" t="s">
        <v>9</v>
      </c>
      <c r="B230" t="s">
        <v>80</v>
      </c>
      <c r="C230" t="s">
        <v>15</v>
      </c>
      <c r="D230" t="s">
        <v>19</v>
      </c>
      <c r="E230" t="s">
        <v>81</v>
      </c>
      <c r="F230" s="2"/>
      <c r="G230">
        <v>2.2000000000000002</v>
      </c>
      <c r="H230">
        <v>7.5</v>
      </c>
      <c r="I230" s="61">
        <v>0.25</v>
      </c>
      <c r="J230" t="s">
        <v>35</v>
      </c>
      <c r="K230">
        <v>49.799999999999983</v>
      </c>
      <c r="L230">
        <v>0.21209999999999998</v>
      </c>
      <c r="M230">
        <v>0</v>
      </c>
      <c r="N230">
        <v>7.6999999999999957E-2</v>
      </c>
      <c r="O230" s="2" t="s">
        <v>228</v>
      </c>
      <c r="P230" t="s">
        <v>79</v>
      </c>
      <c r="Q230" s="19" t="str">
        <f>Tableau1[[#This Row],[Voie de transport]]&amp;Tableau1[[#This Row],[Type de chargement]]</f>
        <v>AutorouteVrac</v>
      </c>
      <c r="R230" s="19" t="str">
        <f>Tableau1[[#This Row],[Voie X Fret]]&amp;Tableau1[[#This Row],[Densité de chargement ]]</f>
        <v>AutorouteVracMoyen</v>
      </c>
    </row>
    <row r="231" spans="1:18" x14ac:dyDescent="0.3">
      <c r="A231" t="s">
        <v>9</v>
      </c>
      <c r="B231" t="s">
        <v>14</v>
      </c>
      <c r="C231" t="s">
        <v>15</v>
      </c>
      <c r="D231" t="s">
        <v>19</v>
      </c>
      <c r="E231" t="s">
        <v>81</v>
      </c>
      <c r="F231" s="2"/>
      <c r="G231">
        <v>4</v>
      </c>
      <c r="H231">
        <v>7.5</v>
      </c>
      <c r="I231" s="61">
        <v>0.25</v>
      </c>
      <c r="J231" t="s">
        <v>34</v>
      </c>
      <c r="K231">
        <v>279</v>
      </c>
      <c r="L231">
        <v>1.6999999999999999E-3</v>
      </c>
      <c r="M231">
        <v>6.0999999999999999E-2</v>
      </c>
      <c r="N231">
        <v>2.2709999999999999</v>
      </c>
      <c r="O231" s="2" t="s">
        <v>228</v>
      </c>
      <c r="P231" t="s">
        <v>79</v>
      </c>
      <c r="Q231" s="19" t="str">
        <f>Tableau1[[#This Row],[Voie de transport]]&amp;Tableau1[[#This Row],[Type de chargement]]</f>
        <v>UrbainVrac</v>
      </c>
      <c r="R231" s="19" t="str">
        <f>Tableau1[[#This Row],[Voie X Fret]]&amp;Tableau1[[#This Row],[Densité de chargement ]]</f>
        <v>UrbainVracMoyen</v>
      </c>
    </row>
    <row r="232" spans="1:18" x14ac:dyDescent="0.3">
      <c r="A232" t="s">
        <v>9</v>
      </c>
      <c r="B232" t="s">
        <v>77</v>
      </c>
      <c r="C232" t="s">
        <v>15</v>
      </c>
      <c r="D232" t="s">
        <v>19</v>
      </c>
      <c r="E232" t="s">
        <v>81</v>
      </c>
      <c r="F232" s="2"/>
      <c r="G232">
        <v>2.7</v>
      </c>
      <c r="H232">
        <v>7.5</v>
      </c>
      <c r="I232" s="61">
        <v>0.25</v>
      </c>
      <c r="J232" t="s">
        <v>34</v>
      </c>
      <c r="K232">
        <v>186.1</v>
      </c>
      <c r="L232">
        <v>1.1000000000000001E-3</v>
      </c>
      <c r="M232">
        <v>3.4000000000000002E-2</v>
      </c>
      <c r="N232">
        <v>1.208</v>
      </c>
      <c r="O232" s="2" t="s">
        <v>228</v>
      </c>
      <c r="P232" t="s">
        <v>79</v>
      </c>
      <c r="Q232" s="19" t="str">
        <f>Tableau1[[#This Row],[Voie de transport]]&amp;Tableau1[[#This Row],[Type de chargement]]</f>
        <v>RuralVrac</v>
      </c>
      <c r="R232" s="19" t="str">
        <f>Tableau1[[#This Row],[Voie X Fret]]&amp;Tableau1[[#This Row],[Densité de chargement ]]</f>
        <v>RuralVracMoyen</v>
      </c>
    </row>
    <row r="233" spans="1:18" x14ac:dyDescent="0.3">
      <c r="A233" t="s">
        <v>9</v>
      </c>
      <c r="B233" t="s">
        <v>80</v>
      </c>
      <c r="C233" t="s">
        <v>15</v>
      </c>
      <c r="D233" t="s">
        <v>19</v>
      </c>
      <c r="E233" t="s">
        <v>81</v>
      </c>
      <c r="F233" s="2"/>
      <c r="G233">
        <v>2.2000000000000002</v>
      </c>
      <c r="H233">
        <v>7.5</v>
      </c>
      <c r="I233" s="61">
        <v>0.25</v>
      </c>
      <c r="J233" t="s">
        <v>34</v>
      </c>
      <c r="K233">
        <v>156.4</v>
      </c>
      <c r="L233">
        <v>8.9999999999999998E-4</v>
      </c>
      <c r="M233">
        <v>4.2999999999999997E-2</v>
      </c>
      <c r="N233">
        <v>1.0529999999999999</v>
      </c>
      <c r="O233" s="2" t="s">
        <v>228</v>
      </c>
      <c r="P233" t="s">
        <v>79</v>
      </c>
      <c r="Q233" s="19" t="str">
        <f>Tableau1[[#This Row],[Voie de transport]]&amp;Tableau1[[#This Row],[Type de chargement]]</f>
        <v>AutorouteVrac</v>
      </c>
      <c r="R233" s="19" t="str">
        <f>Tableau1[[#This Row],[Voie X Fret]]&amp;Tableau1[[#This Row],[Densité de chargement ]]</f>
        <v>AutorouteVracMoyen</v>
      </c>
    </row>
    <row r="234" spans="1:18" x14ac:dyDescent="0.3">
      <c r="A234" t="s">
        <v>9</v>
      </c>
      <c r="B234" t="s">
        <v>14</v>
      </c>
      <c r="C234" t="s">
        <v>15</v>
      </c>
      <c r="D234" t="s">
        <v>19</v>
      </c>
      <c r="E234" t="s">
        <v>82</v>
      </c>
      <c r="F234" s="2"/>
      <c r="G234">
        <v>3.4</v>
      </c>
      <c r="H234">
        <v>13</v>
      </c>
      <c r="I234" s="61">
        <v>0.25</v>
      </c>
      <c r="J234" t="s">
        <v>35</v>
      </c>
      <c r="K234">
        <v>75.000000000000028</v>
      </c>
      <c r="L234">
        <v>0.3196</v>
      </c>
      <c r="M234">
        <v>1.2000000000000002E-2</v>
      </c>
      <c r="N234">
        <v>0.1140000000000001</v>
      </c>
      <c r="O234" s="2" t="s">
        <v>228</v>
      </c>
      <c r="P234" t="s">
        <v>79</v>
      </c>
      <c r="Q234" s="19" t="str">
        <f>Tableau1[[#This Row],[Voie de transport]]&amp;Tableau1[[#This Row],[Type de chargement]]</f>
        <v>UrbainVrac</v>
      </c>
      <c r="R234" s="19" t="str">
        <f>Tableau1[[#This Row],[Voie X Fret]]&amp;Tableau1[[#This Row],[Densité de chargement ]]</f>
        <v>UrbainVracMoyen</v>
      </c>
    </row>
    <row r="235" spans="1:18" x14ac:dyDescent="0.3">
      <c r="A235" t="s">
        <v>9</v>
      </c>
      <c r="B235" t="s">
        <v>77</v>
      </c>
      <c r="C235" t="s">
        <v>15</v>
      </c>
      <c r="D235" t="s">
        <v>19</v>
      </c>
      <c r="E235" t="s">
        <v>82</v>
      </c>
      <c r="F235" s="2"/>
      <c r="G235">
        <v>2.2999999999999998</v>
      </c>
      <c r="H235">
        <v>13</v>
      </c>
      <c r="I235" s="61">
        <v>0.25</v>
      </c>
      <c r="J235" t="s">
        <v>35</v>
      </c>
      <c r="K235">
        <v>50</v>
      </c>
      <c r="L235">
        <v>0.21309999999999998</v>
      </c>
      <c r="M235">
        <v>3.0000000000000009E-3</v>
      </c>
      <c r="N235">
        <v>7.2999999999999954E-2</v>
      </c>
      <c r="O235" s="2" t="s">
        <v>228</v>
      </c>
      <c r="P235" t="s">
        <v>79</v>
      </c>
      <c r="Q235" s="19" t="str">
        <f>Tableau1[[#This Row],[Voie de transport]]&amp;Tableau1[[#This Row],[Type de chargement]]</f>
        <v>RuralVrac</v>
      </c>
      <c r="R235" s="19" t="str">
        <f>Tableau1[[#This Row],[Voie X Fret]]&amp;Tableau1[[#This Row],[Densité de chargement ]]</f>
        <v>RuralVracMoyen</v>
      </c>
    </row>
    <row r="236" spans="1:18" x14ac:dyDescent="0.3">
      <c r="A236" t="s">
        <v>9</v>
      </c>
      <c r="B236" t="s">
        <v>80</v>
      </c>
      <c r="C236" t="s">
        <v>15</v>
      </c>
      <c r="D236" t="s">
        <v>19</v>
      </c>
      <c r="E236" t="s">
        <v>82</v>
      </c>
      <c r="F236" s="2"/>
      <c r="G236">
        <v>1.9</v>
      </c>
      <c r="H236">
        <v>13</v>
      </c>
      <c r="I236" s="61">
        <v>0.25</v>
      </c>
      <c r="J236" t="s">
        <v>35</v>
      </c>
      <c r="K236">
        <v>41.200000000000017</v>
      </c>
      <c r="L236">
        <v>0.17519999999999999</v>
      </c>
      <c r="M236">
        <v>0</v>
      </c>
      <c r="N236">
        <v>6.4999999999999947E-2</v>
      </c>
      <c r="O236" s="2" t="s">
        <v>228</v>
      </c>
      <c r="P236" t="s">
        <v>79</v>
      </c>
      <c r="Q236" s="19" t="str">
        <f>Tableau1[[#This Row],[Voie de transport]]&amp;Tableau1[[#This Row],[Type de chargement]]</f>
        <v>AutorouteVrac</v>
      </c>
      <c r="R236" s="19" t="str">
        <f>Tableau1[[#This Row],[Voie X Fret]]&amp;Tableau1[[#This Row],[Densité de chargement ]]</f>
        <v>AutorouteVracMoyen</v>
      </c>
    </row>
    <row r="237" spans="1:18" x14ac:dyDescent="0.3">
      <c r="A237" t="s">
        <v>9</v>
      </c>
      <c r="B237" t="s">
        <v>14</v>
      </c>
      <c r="C237" t="s">
        <v>15</v>
      </c>
      <c r="D237" t="s">
        <v>19</v>
      </c>
      <c r="E237" t="s">
        <v>82</v>
      </c>
      <c r="F237" s="2"/>
      <c r="G237">
        <v>3.4</v>
      </c>
      <c r="H237">
        <v>13</v>
      </c>
      <c r="I237" s="61">
        <v>0.25</v>
      </c>
      <c r="J237" t="s">
        <v>34</v>
      </c>
      <c r="K237">
        <v>237.6</v>
      </c>
      <c r="L237">
        <v>1.4E-3</v>
      </c>
      <c r="M237">
        <v>3.2000000000000001E-2</v>
      </c>
      <c r="N237">
        <v>1.746</v>
      </c>
      <c r="O237" s="2" t="s">
        <v>228</v>
      </c>
      <c r="P237" t="s">
        <v>79</v>
      </c>
      <c r="Q237" s="19" t="str">
        <f>Tableau1[[#This Row],[Voie de transport]]&amp;Tableau1[[#This Row],[Type de chargement]]</f>
        <v>UrbainVrac</v>
      </c>
      <c r="R237" s="19" t="str">
        <f>Tableau1[[#This Row],[Voie X Fret]]&amp;Tableau1[[#This Row],[Densité de chargement ]]</f>
        <v>UrbainVracMoyen</v>
      </c>
    </row>
    <row r="238" spans="1:18" x14ac:dyDescent="0.3">
      <c r="A238" t="s">
        <v>9</v>
      </c>
      <c r="B238" t="s">
        <v>77</v>
      </c>
      <c r="C238" t="s">
        <v>15</v>
      </c>
      <c r="D238" t="s">
        <v>19</v>
      </c>
      <c r="E238" t="s">
        <v>82</v>
      </c>
      <c r="F238" s="2"/>
      <c r="G238">
        <v>2.2999999999999998</v>
      </c>
      <c r="H238">
        <v>13</v>
      </c>
      <c r="I238" s="61">
        <v>0.25</v>
      </c>
      <c r="J238" t="s">
        <v>34</v>
      </c>
      <c r="K238">
        <v>158.30000000000001</v>
      </c>
      <c r="L238">
        <v>8.9999999999999998E-4</v>
      </c>
      <c r="M238">
        <v>1.7999999999999999E-2</v>
      </c>
      <c r="N238">
        <v>1.117</v>
      </c>
      <c r="O238" s="2" t="s">
        <v>228</v>
      </c>
      <c r="P238" t="s">
        <v>79</v>
      </c>
      <c r="Q238" s="19" t="str">
        <f>Tableau1[[#This Row],[Voie de transport]]&amp;Tableau1[[#This Row],[Type de chargement]]</f>
        <v>RuralVrac</v>
      </c>
      <c r="R238" s="19" t="str">
        <f>Tableau1[[#This Row],[Voie X Fret]]&amp;Tableau1[[#This Row],[Densité de chargement ]]</f>
        <v>RuralVracMoyen</v>
      </c>
    </row>
    <row r="239" spans="1:18" x14ac:dyDescent="0.3">
      <c r="A239" t="s">
        <v>9</v>
      </c>
      <c r="B239" t="s">
        <v>80</v>
      </c>
      <c r="C239" t="s">
        <v>15</v>
      </c>
      <c r="D239" t="s">
        <v>19</v>
      </c>
      <c r="E239" t="s">
        <v>82</v>
      </c>
      <c r="F239" s="2"/>
      <c r="G239">
        <v>1.9</v>
      </c>
      <c r="H239">
        <v>13</v>
      </c>
      <c r="I239" s="61">
        <v>0.25</v>
      </c>
      <c r="J239" t="s">
        <v>34</v>
      </c>
      <c r="K239">
        <v>130.6</v>
      </c>
      <c r="L239">
        <v>8.0000000000000004E-4</v>
      </c>
      <c r="M239">
        <v>1.7000000000000001E-2</v>
      </c>
      <c r="N239">
        <v>0.78500000000000003</v>
      </c>
      <c r="O239" s="2" t="s">
        <v>228</v>
      </c>
      <c r="P239" t="s">
        <v>79</v>
      </c>
      <c r="Q239" s="19" t="str">
        <f>Tableau1[[#This Row],[Voie de transport]]&amp;Tableau1[[#This Row],[Type de chargement]]</f>
        <v>AutorouteVrac</v>
      </c>
      <c r="R239" s="19" t="str">
        <f>Tableau1[[#This Row],[Voie X Fret]]&amp;Tableau1[[#This Row],[Densité de chargement ]]</f>
        <v>AutorouteVracMoyen</v>
      </c>
    </row>
    <row r="240" spans="1:18" x14ac:dyDescent="0.3">
      <c r="A240" t="s">
        <v>9</v>
      </c>
      <c r="B240" t="s">
        <v>14</v>
      </c>
      <c r="C240" t="s">
        <v>15</v>
      </c>
      <c r="D240" t="s">
        <v>19</v>
      </c>
      <c r="E240" t="s">
        <v>83</v>
      </c>
      <c r="F240" s="2"/>
      <c r="G240">
        <v>2.2000000000000002</v>
      </c>
      <c r="H240">
        <v>18</v>
      </c>
      <c r="I240" s="61">
        <v>0.25</v>
      </c>
      <c r="J240" t="s">
        <v>35</v>
      </c>
      <c r="K240">
        <v>48.299999999999983</v>
      </c>
      <c r="L240">
        <v>0.20609999999999998</v>
      </c>
      <c r="M240">
        <v>8.0000000000000002E-3</v>
      </c>
      <c r="N240">
        <v>7.2000000000000064E-2</v>
      </c>
      <c r="O240" s="2" t="s">
        <v>228</v>
      </c>
      <c r="P240" t="s">
        <v>79</v>
      </c>
      <c r="Q240" s="19" t="str">
        <f>Tableau1[[#This Row],[Voie de transport]]&amp;Tableau1[[#This Row],[Type de chargement]]</f>
        <v>UrbainVrac</v>
      </c>
      <c r="R240" s="19" t="str">
        <f>Tableau1[[#This Row],[Voie X Fret]]&amp;Tableau1[[#This Row],[Densité de chargement ]]</f>
        <v>UrbainVracMoyen</v>
      </c>
    </row>
    <row r="241" spans="1:18" x14ac:dyDescent="0.3">
      <c r="A241" t="s">
        <v>9</v>
      </c>
      <c r="B241" t="s">
        <v>77</v>
      </c>
      <c r="C241" t="s">
        <v>15</v>
      </c>
      <c r="D241" t="s">
        <v>19</v>
      </c>
      <c r="E241" t="s">
        <v>83</v>
      </c>
      <c r="F241" s="2"/>
      <c r="G241">
        <v>1.4</v>
      </c>
      <c r="H241">
        <v>18</v>
      </c>
      <c r="I241" s="61">
        <v>0.25</v>
      </c>
      <c r="J241" t="s">
        <v>35</v>
      </c>
      <c r="K241">
        <v>31.100000000000009</v>
      </c>
      <c r="L241">
        <v>0.13240000000000002</v>
      </c>
      <c r="M241">
        <v>0</v>
      </c>
      <c r="N241">
        <v>4.2000000000000037E-2</v>
      </c>
      <c r="O241" s="2" t="s">
        <v>228</v>
      </c>
      <c r="P241" t="s">
        <v>79</v>
      </c>
      <c r="Q241" s="19" t="str">
        <f>Tableau1[[#This Row],[Voie de transport]]&amp;Tableau1[[#This Row],[Type de chargement]]</f>
        <v>RuralVrac</v>
      </c>
      <c r="R241" s="19" t="str">
        <f>Tableau1[[#This Row],[Voie X Fret]]&amp;Tableau1[[#This Row],[Densité de chargement ]]</f>
        <v>RuralVracMoyen</v>
      </c>
    </row>
    <row r="242" spans="1:18" x14ac:dyDescent="0.3">
      <c r="A242" t="s">
        <v>9</v>
      </c>
      <c r="B242" t="s">
        <v>80</v>
      </c>
      <c r="C242" t="s">
        <v>15</v>
      </c>
      <c r="D242" t="s">
        <v>19</v>
      </c>
      <c r="E242" t="s">
        <v>83</v>
      </c>
      <c r="F242" s="2"/>
      <c r="G242">
        <v>1.2</v>
      </c>
      <c r="H242">
        <v>18</v>
      </c>
      <c r="I242" s="61">
        <v>0.25</v>
      </c>
      <c r="J242" t="s">
        <v>35</v>
      </c>
      <c r="K242">
        <v>26.300000000000011</v>
      </c>
      <c r="L242">
        <v>0.1115</v>
      </c>
      <c r="M242">
        <v>0</v>
      </c>
      <c r="N242">
        <v>4.2000000000000037E-2</v>
      </c>
      <c r="O242" s="2" t="s">
        <v>228</v>
      </c>
      <c r="P242" t="s">
        <v>79</v>
      </c>
      <c r="Q242" s="19" t="str">
        <f>Tableau1[[#This Row],[Voie de transport]]&amp;Tableau1[[#This Row],[Type de chargement]]</f>
        <v>AutorouteVrac</v>
      </c>
      <c r="R242" s="19" t="str">
        <f>Tableau1[[#This Row],[Voie X Fret]]&amp;Tableau1[[#This Row],[Densité de chargement ]]</f>
        <v>AutorouteVracMoyen</v>
      </c>
    </row>
    <row r="243" spans="1:18" x14ac:dyDescent="0.3">
      <c r="A243" t="s">
        <v>9</v>
      </c>
      <c r="B243" t="s">
        <v>14</v>
      </c>
      <c r="C243" t="s">
        <v>15</v>
      </c>
      <c r="D243" t="s">
        <v>19</v>
      </c>
      <c r="E243" t="s">
        <v>83</v>
      </c>
      <c r="F243" s="2"/>
      <c r="G243">
        <v>2.2000000000000002</v>
      </c>
      <c r="H243">
        <v>18</v>
      </c>
      <c r="I243" s="61">
        <v>0.25</v>
      </c>
      <c r="J243" t="s">
        <v>34</v>
      </c>
      <c r="K243">
        <v>152.80000000000001</v>
      </c>
      <c r="L243">
        <v>8.9999999999999998E-4</v>
      </c>
      <c r="M243">
        <v>3.6999999999999998E-2</v>
      </c>
      <c r="N243">
        <v>1.208</v>
      </c>
      <c r="O243" s="2" t="s">
        <v>228</v>
      </c>
      <c r="P243" t="s">
        <v>79</v>
      </c>
      <c r="Q243" s="19" t="str">
        <f>Tableau1[[#This Row],[Voie de transport]]&amp;Tableau1[[#This Row],[Type de chargement]]</f>
        <v>UrbainVrac</v>
      </c>
      <c r="R243" s="19" t="str">
        <f>Tableau1[[#This Row],[Voie X Fret]]&amp;Tableau1[[#This Row],[Densité de chargement ]]</f>
        <v>UrbainVracMoyen</v>
      </c>
    </row>
    <row r="244" spans="1:18" x14ac:dyDescent="0.3">
      <c r="A244" t="s">
        <v>9</v>
      </c>
      <c r="B244" t="s">
        <v>77</v>
      </c>
      <c r="C244" t="s">
        <v>15</v>
      </c>
      <c r="D244" t="s">
        <v>19</v>
      </c>
      <c r="E244" t="s">
        <v>83</v>
      </c>
      <c r="F244" s="2"/>
      <c r="G244">
        <v>1.4</v>
      </c>
      <c r="H244">
        <v>18</v>
      </c>
      <c r="I244" s="61">
        <v>0.25</v>
      </c>
      <c r="J244" t="s">
        <v>34</v>
      </c>
      <c r="K244">
        <v>98.7</v>
      </c>
      <c r="L244">
        <v>5.9999999999999995E-4</v>
      </c>
      <c r="M244">
        <v>2.0999999999999998E-2</v>
      </c>
      <c r="N244">
        <v>0.69799999999999995</v>
      </c>
      <c r="O244" s="2" t="s">
        <v>228</v>
      </c>
      <c r="P244" t="s">
        <v>79</v>
      </c>
      <c r="Q244" s="19" t="str">
        <f>Tableau1[[#This Row],[Voie de transport]]&amp;Tableau1[[#This Row],[Type de chargement]]</f>
        <v>RuralVrac</v>
      </c>
      <c r="R244" s="19" t="str">
        <f>Tableau1[[#This Row],[Voie X Fret]]&amp;Tableau1[[#This Row],[Densité de chargement ]]</f>
        <v>RuralVracMoyen</v>
      </c>
    </row>
    <row r="245" spans="1:18" x14ac:dyDescent="0.3">
      <c r="A245" t="s">
        <v>9</v>
      </c>
      <c r="B245" t="s">
        <v>80</v>
      </c>
      <c r="C245" t="s">
        <v>15</v>
      </c>
      <c r="D245" t="s">
        <v>19</v>
      </c>
      <c r="E245" t="s">
        <v>83</v>
      </c>
      <c r="F245" s="2"/>
      <c r="G245">
        <v>1.2</v>
      </c>
      <c r="H245">
        <v>18</v>
      </c>
      <c r="I245" s="61">
        <v>0.25</v>
      </c>
      <c r="J245" t="s">
        <v>34</v>
      </c>
      <c r="K245">
        <v>83.1</v>
      </c>
      <c r="L245">
        <v>5.0000000000000001E-4</v>
      </c>
      <c r="M245">
        <v>0.02</v>
      </c>
      <c r="N245">
        <v>0.58799999999999997</v>
      </c>
      <c r="O245" s="2" t="s">
        <v>228</v>
      </c>
      <c r="P245" t="s">
        <v>79</v>
      </c>
      <c r="Q245" s="19" t="str">
        <f>Tableau1[[#This Row],[Voie de transport]]&amp;Tableau1[[#This Row],[Type de chargement]]</f>
        <v>AutorouteVrac</v>
      </c>
      <c r="R245" s="19" t="str">
        <f>Tableau1[[#This Row],[Voie X Fret]]&amp;Tableau1[[#This Row],[Densité de chargement ]]</f>
        <v>AutorouteVracMoyen</v>
      </c>
    </row>
    <row r="246" spans="1:18" x14ac:dyDescent="0.3">
      <c r="A246" t="s">
        <v>9</v>
      </c>
      <c r="B246" t="s">
        <v>14</v>
      </c>
      <c r="C246" t="s">
        <v>15</v>
      </c>
      <c r="D246" t="s">
        <v>19</v>
      </c>
      <c r="E246" t="s">
        <v>84</v>
      </c>
      <c r="F246" s="2"/>
      <c r="G246">
        <v>2</v>
      </c>
      <c r="H246">
        <v>28</v>
      </c>
      <c r="I246" s="61">
        <v>0.25</v>
      </c>
      <c r="J246" t="s">
        <v>35</v>
      </c>
      <c r="K246">
        <v>43.400000000000006</v>
      </c>
      <c r="L246">
        <v>0.1852</v>
      </c>
      <c r="M246">
        <v>7.0000000000000001E-3</v>
      </c>
      <c r="N246">
        <v>6.5000000000000058E-2</v>
      </c>
      <c r="O246" s="2" t="s">
        <v>228</v>
      </c>
      <c r="P246" t="s">
        <v>79</v>
      </c>
      <c r="Q246" s="19" t="str">
        <f>Tableau1[[#This Row],[Voie de transport]]&amp;Tableau1[[#This Row],[Type de chargement]]</f>
        <v>UrbainVrac</v>
      </c>
      <c r="R246" s="19" t="str">
        <f>Tableau1[[#This Row],[Voie X Fret]]&amp;Tableau1[[#This Row],[Densité de chargement ]]</f>
        <v>UrbainVracMoyen</v>
      </c>
    </row>
    <row r="247" spans="1:18" x14ac:dyDescent="0.3">
      <c r="A247" t="s">
        <v>9</v>
      </c>
      <c r="B247" t="s">
        <v>77</v>
      </c>
      <c r="C247" t="s">
        <v>15</v>
      </c>
      <c r="D247" t="s">
        <v>19</v>
      </c>
      <c r="E247" t="s">
        <v>84</v>
      </c>
      <c r="F247" s="2"/>
      <c r="G247">
        <v>1.2</v>
      </c>
      <c r="H247">
        <v>28</v>
      </c>
      <c r="I247" s="61">
        <v>0.25</v>
      </c>
      <c r="J247" t="s">
        <v>35</v>
      </c>
      <c r="K247">
        <v>26.200000000000003</v>
      </c>
      <c r="L247">
        <v>0.1115</v>
      </c>
      <c r="M247">
        <v>2E-3</v>
      </c>
      <c r="N247">
        <v>3.8999999999999979E-2</v>
      </c>
      <c r="O247" s="2" t="s">
        <v>228</v>
      </c>
      <c r="P247" t="s">
        <v>79</v>
      </c>
      <c r="Q247" s="19" t="str">
        <f>Tableau1[[#This Row],[Voie de transport]]&amp;Tableau1[[#This Row],[Type de chargement]]</f>
        <v>RuralVrac</v>
      </c>
      <c r="R247" s="19" t="str">
        <f>Tableau1[[#This Row],[Voie X Fret]]&amp;Tableau1[[#This Row],[Densité de chargement ]]</f>
        <v>RuralVracMoyen</v>
      </c>
    </row>
    <row r="248" spans="1:18" x14ac:dyDescent="0.3">
      <c r="A248" t="s">
        <v>9</v>
      </c>
      <c r="B248" t="s">
        <v>80</v>
      </c>
      <c r="C248" t="s">
        <v>15</v>
      </c>
      <c r="D248" t="s">
        <v>19</v>
      </c>
      <c r="E248" t="s">
        <v>84</v>
      </c>
      <c r="F248" s="2"/>
      <c r="G248">
        <v>1</v>
      </c>
      <c r="H248">
        <v>28</v>
      </c>
      <c r="I248" s="61">
        <v>0.25</v>
      </c>
      <c r="J248" t="s">
        <v>35</v>
      </c>
      <c r="K248">
        <v>21.5</v>
      </c>
      <c r="L248">
        <v>9.1600000000000001E-2</v>
      </c>
      <c r="M248">
        <v>0</v>
      </c>
      <c r="N248">
        <v>3.2000000000000001E-2</v>
      </c>
      <c r="O248" s="2" t="s">
        <v>228</v>
      </c>
      <c r="P248" t="s">
        <v>79</v>
      </c>
      <c r="Q248" s="19" t="str">
        <f>Tableau1[[#This Row],[Voie de transport]]&amp;Tableau1[[#This Row],[Type de chargement]]</f>
        <v>AutorouteVrac</v>
      </c>
      <c r="R248" s="19" t="str">
        <f>Tableau1[[#This Row],[Voie X Fret]]&amp;Tableau1[[#This Row],[Densité de chargement ]]</f>
        <v>AutorouteVracMoyen</v>
      </c>
    </row>
    <row r="249" spans="1:18" x14ac:dyDescent="0.3">
      <c r="A249" t="s">
        <v>9</v>
      </c>
      <c r="B249" t="s">
        <v>14</v>
      </c>
      <c r="C249" t="s">
        <v>15</v>
      </c>
      <c r="D249" t="s">
        <v>19</v>
      </c>
      <c r="E249" t="s">
        <v>84</v>
      </c>
      <c r="F249" s="2"/>
      <c r="G249">
        <v>2</v>
      </c>
      <c r="H249">
        <v>28</v>
      </c>
      <c r="I249" s="61">
        <v>0.25</v>
      </c>
      <c r="J249" t="s">
        <v>34</v>
      </c>
      <c r="K249">
        <v>137.6</v>
      </c>
      <c r="L249">
        <v>8.0000000000000004E-4</v>
      </c>
      <c r="M249">
        <v>1.6E-2</v>
      </c>
      <c r="N249">
        <v>0.56499999999999995</v>
      </c>
      <c r="O249" s="2" t="s">
        <v>228</v>
      </c>
      <c r="P249" t="s">
        <v>79</v>
      </c>
      <c r="Q249" s="19" t="str">
        <f>Tableau1[[#This Row],[Voie de transport]]&amp;Tableau1[[#This Row],[Type de chargement]]</f>
        <v>UrbainVrac</v>
      </c>
      <c r="R249" s="19" t="str">
        <f>Tableau1[[#This Row],[Voie X Fret]]&amp;Tableau1[[#This Row],[Densité de chargement ]]</f>
        <v>UrbainVracMoyen</v>
      </c>
    </row>
    <row r="250" spans="1:18" x14ac:dyDescent="0.3">
      <c r="A250" t="s">
        <v>9</v>
      </c>
      <c r="B250" t="s">
        <v>77</v>
      </c>
      <c r="C250" t="s">
        <v>15</v>
      </c>
      <c r="D250" t="s">
        <v>19</v>
      </c>
      <c r="E250" t="s">
        <v>84</v>
      </c>
      <c r="F250" s="2"/>
      <c r="G250">
        <v>1.2</v>
      </c>
      <c r="H250">
        <v>28</v>
      </c>
      <c r="I250" s="61">
        <v>0.25</v>
      </c>
      <c r="J250" t="s">
        <v>34</v>
      </c>
      <c r="K250">
        <v>83.1</v>
      </c>
      <c r="L250">
        <v>5.0000000000000001E-4</v>
      </c>
      <c r="M250">
        <v>8.0000000000000002E-3</v>
      </c>
      <c r="N250">
        <v>0.33100000000000002</v>
      </c>
      <c r="O250" s="2" t="s">
        <v>228</v>
      </c>
      <c r="P250" t="s">
        <v>79</v>
      </c>
      <c r="Q250" s="19" t="str">
        <f>Tableau1[[#This Row],[Voie de transport]]&amp;Tableau1[[#This Row],[Type de chargement]]</f>
        <v>RuralVrac</v>
      </c>
      <c r="R250" s="19" t="str">
        <f>Tableau1[[#This Row],[Voie X Fret]]&amp;Tableau1[[#This Row],[Densité de chargement ]]</f>
        <v>RuralVracMoyen</v>
      </c>
    </row>
    <row r="251" spans="1:18" x14ac:dyDescent="0.3">
      <c r="A251" t="s">
        <v>9</v>
      </c>
      <c r="B251" t="s">
        <v>80</v>
      </c>
      <c r="C251" t="s">
        <v>15</v>
      </c>
      <c r="D251" t="s">
        <v>19</v>
      </c>
      <c r="E251" t="s">
        <v>84</v>
      </c>
      <c r="F251" s="2"/>
      <c r="G251">
        <v>1</v>
      </c>
      <c r="H251">
        <v>28</v>
      </c>
      <c r="I251" s="61">
        <v>0.25</v>
      </c>
      <c r="J251" t="s">
        <v>34</v>
      </c>
      <c r="K251">
        <v>68.099999999999994</v>
      </c>
      <c r="L251">
        <v>4.0000000000000002E-4</v>
      </c>
      <c r="M251">
        <v>9.0000000000000011E-3</v>
      </c>
      <c r="N251">
        <v>0.218</v>
      </c>
      <c r="O251" s="2" t="s">
        <v>228</v>
      </c>
      <c r="P251" t="s">
        <v>79</v>
      </c>
      <c r="Q251" s="19" t="str">
        <f>Tableau1[[#This Row],[Voie de transport]]&amp;Tableau1[[#This Row],[Type de chargement]]</f>
        <v>AutorouteVrac</v>
      </c>
      <c r="R251" s="19" t="str">
        <f>Tableau1[[#This Row],[Voie X Fret]]&amp;Tableau1[[#This Row],[Densité de chargement ]]</f>
        <v>AutorouteVracMoyen</v>
      </c>
    </row>
    <row r="252" spans="1:18" x14ac:dyDescent="0.3">
      <c r="A252" t="s">
        <v>9</v>
      </c>
      <c r="B252" t="s">
        <v>14</v>
      </c>
      <c r="C252" t="s">
        <v>15</v>
      </c>
      <c r="D252" t="s">
        <v>19</v>
      </c>
      <c r="E252" t="s">
        <v>85</v>
      </c>
      <c r="F252" s="2"/>
      <c r="G252">
        <v>3.1</v>
      </c>
      <c r="H252">
        <v>15.7</v>
      </c>
      <c r="I252" s="61">
        <v>0.35</v>
      </c>
      <c r="J252" t="s">
        <v>35</v>
      </c>
      <c r="K252">
        <v>69.399999999999977</v>
      </c>
      <c r="L252">
        <v>0.29569999999999996</v>
      </c>
      <c r="M252">
        <v>1.2E-2</v>
      </c>
      <c r="N252">
        <v>0.10499999999999998</v>
      </c>
      <c r="O252" s="2" t="s">
        <v>228</v>
      </c>
      <c r="P252" t="s">
        <v>79</v>
      </c>
      <c r="Q252" s="19" t="str">
        <f>Tableau1[[#This Row],[Voie de transport]]&amp;Tableau1[[#This Row],[Type de chargement]]</f>
        <v>UrbainVrac</v>
      </c>
      <c r="R252" s="19" t="str">
        <f>Tableau1[[#This Row],[Voie X Fret]]&amp;Tableau1[[#This Row],[Densité de chargement ]]</f>
        <v>UrbainVracMoyen</v>
      </c>
    </row>
    <row r="253" spans="1:18" x14ac:dyDescent="0.3">
      <c r="A253" t="s">
        <v>9</v>
      </c>
      <c r="B253" t="s">
        <v>77</v>
      </c>
      <c r="C253" t="s">
        <v>15</v>
      </c>
      <c r="D253" t="s">
        <v>19</v>
      </c>
      <c r="E253" t="s">
        <v>85</v>
      </c>
      <c r="F253" s="2"/>
      <c r="G253">
        <v>2.2000000000000002</v>
      </c>
      <c r="H253">
        <v>15.7</v>
      </c>
      <c r="I253" s="61">
        <v>0.35</v>
      </c>
      <c r="J253" t="s">
        <v>35</v>
      </c>
      <c r="K253">
        <v>47.800000000000011</v>
      </c>
      <c r="L253">
        <v>0.20309999999999997</v>
      </c>
      <c r="M253">
        <v>5.9999999999999993E-3</v>
      </c>
      <c r="N253">
        <v>7.3999999999999955E-2</v>
      </c>
      <c r="O253" s="2" t="s">
        <v>228</v>
      </c>
      <c r="P253" t="s">
        <v>79</v>
      </c>
      <c r="Q253" s="19" t="str">
        <f>Tableau1[[#This Row],[Voie de transport]]&amp;Tableau1[[#This Row],[Type de chargement]]</f>
        <v>RuralVrac</v>
      </c>
      <c r="R253" s="19" t="str">
        <f>Tableau1[[#This Row],[Voie X Fret]]&amp;Tableau1[[#This Row],[Densité de chargement ]]</f>
        <v>RuralVracMoyen</v>
      </c>
    </row>
    <row r="254" spans="1:18" x14ac:dyDescent="0.3">
      <c r="A254" t="s">
        <v>9</v>
      </c>
      <c r="B254" t="s">
        <v>80</v>
      </c>
      <c r="C254" t="s">
        <v>15</v>
      </c>
      <c r="D254" t="s">
        <v>19</v>
      </c>
      <c r="E254" t="s">
        <v>85</v>
      </c>
      <c r="F254" s="2"/>
      <c r="G254">
        <v>1.8</v>
      </c>
      <c r="H254">
        <v>15.7</v>
      </c>
      <c r="I254" s="61">
        <v>0.35</v>
      </c>
      <c r="J254" t="s">
        <v>35</v>
      </c>
      <c r="K254">
        <v>39.100000000000009</v>
      </c>
      <c r="L254">
        <v>0.1673</v>
      </c>
      <c r="M254">
        <v>3.0000000000000001E-3</v>
      </c>
      <c r="N254">
        <v>5.5999999999999994E-2</v>
      </c>
      <c r="O254" s="2" t="s">
        <v>228</v>
      </c>
      <c r="P254" t="s">
        <v>79</v>
      </c>
      <c r="Q254" s="19" t="str">
        <f>Tableau1[[#This Row],[Voie de transport]]&amp;Tableau1[[#This Row],[Type de chargement]]</f>
        <v>AutorouteVrac</v>
      </c>
      <c r="R254" s="19" t="str">
        <f>Tableau1[[#This Row],[Voie X Fret]]&amp;Tableau1[[#This Row],[Densité de chargement ]]</f>
        <v>AutorouteVracMoyen</v>
      </c>
    </row>
    <row r="255" spans="1:18" x14ac:dyDescent="0.3">
      <c r="A255" t="s">
        <v>9</v>
      </c>
      <c r="B255" t="s">
        <v>14</v>
      </c>
      <c r="C255" t="s">
        <v>15</v>
      </c>
      <c r="D255" t="s">
        <v>19</v>
      </c>
      <c r="E255" t="s">
        <v>85</v>
      </c>
      <c r="F255" s="2"/>
      <c r="G255">
        <v>3.1</v>
      </c>
      <c r="H255">
        <v>15.7</v>
      </c>
      <c r="I255" s="61">
        <v>0.35</v>
      </c>
      <c r="J255" t="s">
        <v>34</v>
      </c>
      <c r="K255">
        <v>220</v>
      </c>
      <c r="L255">
        <v>1.2999999999999999E-3</v>
      </c>
      <c r="M255">
        <v>2.3E-2</v>
      </c>
      <c r="N255">
        <v>1.1850000000000001</v>
      </c>
      <c r="O255" s="2" t="s">
        <v>228</v>
      </c>
      <c r="P255" t="s">
        <v>79</v>
      </c>
      <c r="Q255" s="19" t="str">
        <f>Tableau1[[#This Row],[Voie de transport]]&amp;Tableau1[[#This Row],[Type de chargement]]</f>
        <v>UrbainVrac</v>
      </c>
      <c r="R255" s="19" t="str">
        <f>Tableau1[[#This Row],[Voie X Fret]]&amp;Tableau1[[#This Row],[Densité de chargement ]]</f>
        <v>UrbainVracMoyen</v>
      </c>
    </row>
    <row r="256" spans="1:18" x14ac:dyDescent="0.3">
      <c r="A256" t="s">
        <v>9</v>
      </c>
      <c r="B256" t="s">
        <v>77</v>
      </c>
      <c r="C256" t="s">
        <v>15</v>
      </c>
      <c r="D256" t="s">
        <v>19</v>
      </c>
      <c r="E256" t="s">
        <v>85</v>
      </c>
      <c r="F256" s="2"/>
      <c r="G256">
        <v>2.2000000000000002</v>
      </c>
      <c r="H256">
        <v>15.7</v>
      </c>
      <c r="I256" s="61">
        <v>0.35</v>
      </c>
      <c r="J256" t="s">
        <v>34</v>
      </c>
      <c r="K256">
        <v>151.5</v>
      </c>
      <c r="L256">
        <v>8.9999999999999998E-4</v>
      </c>
      <c r="M256">
        <v>1.2E-2</v>
      </c>
      <c r="N256">
        <v>0.68600000000000005</v>
      </c>
      <c r="O256" s="2" t="s">
        <v>228</v>
      </c>
      <c r="P256" t="s">
        <v>79</v>
      </c>
      <c r="Q256" s="19" t="str">
        <f>Tableau1[[#This Row],[Voie de transport]]&amp;Tableau1[[#This Row],[Type de chargement]]</f>
        <v>RuralVrac</v>
      </c>
      <c r="R256" s="19" t="str">
        <f>Tableau1[[#This Row],[Voie X Fret]]&amp;Tableau1[[#This Row],[Densité de chargement ]]</f>
        <v>RuralVracMoyen</v>
      </c>
    </row>
    <row r="257" spans="1:18" x14ac:dyDescent="0.3">
      <c r="A257" t="s">
        <v>9</v>
      </c>
      <c r="B257" t="s">
        <v>80</v>
      </c>
      <c r="C257" t="s">
        <v>15</v>
      </c>
      <c r="D257" t="s">
        <v>19</v>
      </c>
      <c r="E257" t="s">
        <v>85</v>
      </c>
      <c r="F257" s="2"/>
      <c r="G257">
        <v>1.8</v>
      </c>
      <c r="H257">
        <v>15.7</v>
      </c>
      <c r="I257" s="61">
        <v>0.35</v>
      </c>
      <c r="J257" t="s">
        <v>34</v>
      </c>
      <c r="K257">
        <v>124.3</v>
      </c>
      <c r="L257">
        <v>6.9999999999999999E-4</v>
      </c>
      <c r="M257">
        <v>1.2E-2</v>
      </c>
      <c r="N257">
        <v>0.42399999999999999</v>
      </c>
      <c r="O257" s="2" t="s">
        <v>228</v>
      </c>
      <c r="P257" t="s">
        <v>79</v>
      </c>
      <c r="Q257" s="19" t="str">
        <f>Tableau1[[#This Row],[Voie de transport]]&amp;Tableau1[[#This Row],[Type de chargement]]</f>
        <v>AutorouteVrac</v>
      </c>
      <c r="R257" s="19" t="str">
        <f>Tableau1[[#This Row],[Voie X Fret]]&amp;Tableau1[[#This Row],[Densité de chargement ]]</f>
        <v>AutorouteVracMoyen</v>
      </c>
    </row>
    <row r="258" spans="1:18" x14ac:dyDescent="0.3">
      <c r="A258" t="s">
        <v>9</v>
      </c>
      <c r="B258" t="s">
        <v>14</v>
      </c>
      <c r="C258" t="s">
        <v>15</v>
      </c>
      <c r="D258" t="s">
        <v>19</v>
      </c>
      <c r="E258" t="s">
        <v>86</v>
      </c>
      <c r="F258" s="2"/>
      <c r="G258">
        <v>1.9</v>
      </c>
      <c r="H258">
        <v>29.2</v>
      </c>
      <c r="I258" s="61">
        <v>0.3</v>
      </c>
      <c r="J258" t="s">
        <v>35</v>
      </c>
      <c r="K258">
        <v>42.800000000000011</v>
      </c>
      <c r="L258">
        <v>0.1822</v>
      </c>
      <c r="M258">
        <v>7.0000000000000001E-3</v>
      </c>
      <c r="N258">
        <v>6.3E-2</v>
      </c>
      <c r="O258" s="2" t="s">
        <v>228</v>
      </c>
      <c r="P258" t="s">
        <v>79</v>
      </c>
      <c r="Q258" s="19" t="str">
        <f>Tableau1[[#This Row],[Voie de transport]]&amp;Tableau1[[#This Row],[Type de chargement]]</f>
        <v>UrbainVrac</v>
      </c>
      <c r="R258" s="19" t="str">
        <f>Tableau1[[#This Row],[Voie X Fret]]&amp;Tableau1[[#This Row],[Densité de chargement ]]</f>
        <v>UrbainVracMoyen</v>
      </c>
    </row>
    <row r="259" spans="1:18" x14ac:dyDescent="0.3">
      <c r="A259" t="s">
        <v>9</v>
      </c>
      <c r="B259" t="s">
        <v>77</v>
      </c>
      <c r="C259" t="s">
        <v>15</v>
      </c>
      <c r="D259" t="s">
        <v>19</v>
      </c>
      <c r="E259" t="s">
        <v>86</v>
      </c>
      <c r="F259" s="2"/>
      <c r="G259">
        <v>1.2</v>
      </c>
      <c r="H259">
        <v>29.2</v>
      </c>
      <c r="I259" s="61">
        <v>0.3</v>
      </c>
      <c r="J259" t="s">
        <v>35</v>
      </c>
      <c r="K259">
        <v>26.800000000000011</v>
      </c>
      <c r="L259">
        <v>0.1145</v>
      </c>
      <c r="M259">
        <v>2E-3</v>
      </c>
      <c r="N259">
        <v>4.3999999999999984E-2</v>
      </c>
      <c r="O259" s="2" t="s">
        <v>228</v>
      </c>
      <c r="P259" t="s">
        <v>79</v>
      </c>
      <c r="Q259" s="19" t="str">
        <f>Tableau1[[#This Row],[Voie de transport]]&amp;Tableau1[[#This Row],[Type de chargement]]</f>
        <v>RuralVrac</v>
      </c>
      <c r="R259" s="19" t="str">
        <f>Tableau1[[#This Row],[Voie X Fret]]&amp;Tableau1[[#This Row],[Densité de chargement ]]</f>
        <v>RuralVracMoyen</v>
      </c>
    </row>
    <row r="260" spans="1:18" x14ac:dyDescent="0.3">
      <c r="A260" t="s">
        <v>9</v>
      </c>
      <c r="B260" t="s">
        <v>80</v>
      </c>
      <c r="C260" t="s">
        <v>15</v>
      </c>
      <c r="D260" t="s">
        <v>19</v>
      </c>
      <c r="E260" t="s">
        <v>86</v>
      </c>
      <c r="F260" s="2"/>
      <c r="G260">
        <v>0.8</v>
      </c>
      <c r="H260">
        <v>29.2</v>
      </c>
      <c r="I260" s="61">
        <v>0.3</v>
      </c>
      <c r="J260" t="s">
        <v>35</v>
      </c>
      <c r="K260">
        <v>17.999999999999993</v>
      </c>
      <c r="L260">
        <v>7.6700000000000004E-2</v>
      </c>
      <c r="M260">
        <v>0</v>
      </c>
      <c r="N260">
        <v>2.5999999999999995E-2</v>
      </c>
      <c r="O260" s="2" t="s">
        <v>228</v>
      </c>
      <c r="P260" t="s">
        <v>79</v>
      </c>
      <c r="Q260" s="19" t="str">
        <f>Tableau1[[#This Row],[Voie de transport]]&amp;Tableau1[[#This Row],[Type de chargement]]</f>
        <v>AutorouteVrac</v>
      </c>
      <c r="R260" s="19" t="str">
        <f>Tableau1[[#This Row],[Voie X Fret]]&amp;Tableau1[[#This Row],[Densité de chargement ]]</f>
        <v>AutorouteVracMoyen</v>
      </c>
    </row>
    <row r="261" spans="1:18" x14ac:dyDescent="0.3">
      <c r="A261" t="s">
        <v>9</v>
      </c>
      <c r="B261" t="s">
        <v>14</v>
      </c>
      <c r="C261" t="s">
        <v>15</v>
      </c>
      <c r="D261" t="s">
        <v>19</v>
      </c>
      <c r="E261" t="s">
        <v>86</v>
      </c>
      <c r="F261" s="2"/>
      <c r="G261">
        <v>1.9</v>
      </c>
      <c r="H261">
        <v>29.2</v>
      </c>
      <c r="I261" s="61">
        <v>0.3</v>
      </c>
      <c r="J261" t="s">
        <v>34</v>
      </c>
      <c r="K261">
        <v>135.6</v>
      </c>
      <c r="L261">
        <v>8.0000000000000004E-4</v>
      </c>
      <c r="M261">
        <v>1.2E-2</v>
      </c>
      <c r="N261">
        <v>0.44700000000000001</v>
      </c>
      <c r="O261" s="2" t="s">
        <v>228</v>
      </c>
      <c r="P261" t="s">
        <v>79</v>
      </c>
      <c r="Q261" s="19" t="str">
        <f>Tableau1[[#This Row],[Voie de transport]]&amp;Tableau1[[#This Row],[Type de chargement]]</f>
        <v>UrbainVrac</v>
      </c>
      <c r="R261" s="19" t="str">
        <f>Tableau1[[#This Row],[Voie X Fret]]&amp;Tableau1[[#This Row],[Densité de chargement ]]</f>
        <v>UrbainVracMoyen</v>
      </c>
    </row>
    <row r="262" spans="1:18" x14ac:dyDescent="0.3">
      <c r="A262" t="s">
        <v>9</v>
      </c>
      <c r="B262" t="s">
        <v>77</v>
      </c>
      <c r="C262" t="s">
        <v>15</v>
      </c>
      <c r="D262" t="s">
        <v>19</v>
      </c>
      <c r="E262" t="s">
        <v>86</v>
      </c>
      <c r="F262" s="2"/>
      <c r="G262">
        <v>1.2</v>
      </c>
      <c r="H262">
        <v>29.2</v>
      </c>
      <c r="I262" s="61">
        <v>0.3</v>
      </c>
      <c r="J262" t="s">
        <v>34</v>
      </c>
      <c r="K262">
        <v>85.1</v>
      </c>
      <c r="L262">
        <v>5.0000000000000001E-4</v>
      </c>
      <c r="M262">
        <v>7.0000000000000001E-3</v>
      </c>
      <c r="N262">
        <v>0.26600000000000001</v>
      </c>
      <c r="O262" s="2" t="s">
        <v>228</v>
      </c>
      <c r="P262" t="s">
        <v>79</v>
      </c>
      <c r="Q262" s="19" t="str">
        <f>Tableau1[[#This Row],[Voie de transport]]&amp;Tableau1[[#This Row],[Type de chargement]]</f>
        <v>RuralVrac</v>
      </c>
      <c r="R262" s="19" t="str">
        <f>Tableau1[[#This Row],[Voie X Fret]]&amp;Tableau1[[#This Row],[Densité de chargement ]]</f>
        <v>RuralVracMoyen</v>
      </c>
    </row>
    <row r="263" spans="1:18" x14ac:dyDescent="0.3">
      <c r="A263" t="s">
        <v>9</v>
      </c>
      <c r="B263" t="s">
        <v>80</v>
      </c>
      <c r="C263" t="s">
        <v>15</v>
      </c>
      <c r="D263" t="s">
        <v>19</v>
      </c>
      <c r="E263" t="s">
        <v>86</v>
      </c>
      <c r="F263" s="2"/>
      <c r="G263">
        <v>0.8</v>
      </c>
      <c r="H263">
        <v>29.2</v>
      </c>
      <c r="I263" s="61">
        <v>0.3</v>
      </c>
      <c r="J263" t="s">
        <v>34</v>
      </c>
      <c r="K263">
        <v>57.1</v>
      </c>
      <c r="L263">
        <v>2.9999999999999997E-4</v>
      </c>
      <c r="M263">
        <v>6.0000000000000001E-3</v>
      </c>
      <c r="N263">
        <v>0.184</v>
      </c>
      <c r="O263" s="2" t="s">
        <v>228</v>
      </c>
      <c r="P263" t="s">
        <v>79</v>
      </c>
      <c r="Q263" s="19" t="str">
        <f>Tableau1[[#This Row],[Voie de transport]]&amp;Tableau1[[#This Row],[Type de chargement]]</f>
        <v>AutorouteVrac</v>
      </c>
      <c r="R263" s="19" t="str">
        <f>Tableau1[[#This Row],[Voie X Fret]]&amp;Tableau1[[#This Row],[Densité de chargement ]]</f>
        <v>AutorouteVracMoyen</v>
      </c>
    </row>
    <row r="264" spans="1:18" x14ac:dyDescent="0.3">
      <c r="A264" t="s">
        <v>9</v>
      </c>
      <c r="B264" t="s">
        <v>14</v>
      </c>
      <c r="C264" t="s">
        <v>15</v>
      </c>
      <c r="D264" t="s">
        <v>19</v>
      </c>
      <c r="E264" t="s">
        <v>87</v>
      </c>
      <c r="F264" s="2"/>
      <c r="G264">
        <v>1.9</v>
      </c>
      <c r="H264">
        <v>40.799999999999997</v>
      </c>
      <c r="I264" s="61">
        <v>0.3</v>
      </c>
      <c r="J264" t="s">
        <v>35</v>
      </c>
      <c r="K264">
        <v>41.300000000000011</v>
      </c>
      <c r="L264">
        <v>0.1762</v>
      </c>
      <c r="M264">
        <v>6.9999999999999993E-3</v>
      </c>
      <c r="N264">
        <v>6.3E-2</v>
      </c>
      <c r="O264" s="2" t="s">
        <v>228</v>
      </c>
      <c r="P264" t="s">
        <v>79</v>
      </c>
      <c r="Q264" s="19" t="str">
        <f>Tableau1[[#This Row],[Voie de transport]]&amp;Tableau1[[#This Row],[Type de chargement]]</f>
        <v>UrbainVrac</v>
      </c>
      <c r="R264" s="19" t="str">
        <f>Tableau1[[#This Row],[Voie X Fret]]&amp;Tableau1[[#This Row],[Densité de chargement ]]</f>
        <v>UrbainVracMoyen</v>
      </c>
    </row>
    <row r="265" spans="1:18" x14ac:dyDescent="0.3">
      <c r="A265" t="s">
        <v>9</v>
      </c>
      <c r="B265" t="s">
        <v>77</v>
      </c>
      <c r="C265" t="s">
        <v>15</v>
      </c>
      <c r="D265" t="s">
        <v>19</v>
      </c>
      <c r="E265" t="s">
        <v>87</v>
      </c>
      <c r="F265" s="2"/>
      <c r="G265">
        <v>1.2</v>
      </c>
      <c r="H265">
        <v>40.799999999999997</v>
      </c>
      <c r="I265" s="61">
        <v>0.3</v>
      </c>
      <c r="J265" t="s">
        <v>35</v>
      </c>
      <c r="K265">
        <v>25.899999999999991</v>
      </c>
      <c r="L265">
        <v>0.1105</v>
      </c>
      <c r="M265">
        <v>2E-3</v>
      </c>
      <c r="N265">
        <v>3.8000000000000034E-2</v>
      </c>
      <c r="O265" s="2" t="s">
        <v>228</v>
      </c>
      <c r="P265" t="s">
        <v>79</v>
      </c>
      <c r="Q265" s="19" t="str">
        <f>Tableau1[[#This Row],[Voie de transport]]&amp;Tableau1[[#This Row],[Type de chargement]]</f>
        <v>RuralVrac</v>
      </c>
      <c r="R265" s="19" t="str">
        <f>Tableau1[[#This Row],[Voie X Fret]]&amp;Tableau1[[#This Row],[Densité de chargement ]]</f>
        <v>RuralVracMoyen</v>
      </c>
    </row>
    <row r="266" spans="1:18" x14ac:dyDescent="0.3">
      <c r="A266" t="s">
        <v>9</v>
      </c>
      <c r="B266" t="s">
        <v>80</v>
      </c>
      <c r="C266" t="s">
        <v>15</v>
      </c>
      <c r="D266" t="s">
        <v>19</v>
      </c>
      <c r="E266" t="s">
        <v>87</v>
      </c>
      <c r="F266" s="2"/>
      <c r="G266">
        <v>0.8</v>
      </c>
      <c r="H266">
        <v>40.799999999999997</v>
      </c>
      <c r="I266" s="61">
        <v>0.3</v>
      </c>
      <c r="J266" t="s">
        <v>35</v>
      </c>
      <c r="K266">
        <v>17.499999999999993</v>
      </c>
      <c r="L266">
        <v>7.4700000000000003E-2</v>
      </c>
      <c r="M266">
        <v>0</v>
      </c>
      <c r="N266">
        <v>2.1999999999999992E-2</v>
      </c>
      <c r="O266" s="2" t="s">
        <v>228</v>
      </c>
      <c r="P266" t="s">
        <v>79</v>
      </c>
      <c r="Q266" s="19" t="str">
        <f>Tableau1[[#This Row],[Voie de transport]]&amp;Tableau1[[#This Row],[Type de chargement]]</f>
        <v>AutorouteVrac</v>
      </c>
      <c r="R266" s="19" t="str">
        <f>Tableau1[[#This Row],[Voie X Fret]]&amp;Tableau1[[#This Row],[Densité de chargement ]]</f>
        <v>AutorouteVracMoyen</v>
      </c>
    </row>
    <row r="267" spans="1:18" x14ac:dyDescent="0.3">
      <c r="A267" t="s">
        <v>9</v>
      </c>
      <c r="B267" t="s">
        <v>14</v>
      </c>
      <c r="C267" t="s">
        <v>15</v>
      </c>
      <c r="D267" t="s">
        <v>19</v>
      </c>
      <c r="E267" t="s">
        <v>87</v>
      </c>
      <c r="F267" s="2"/>
      <c r="G267">
        <v>1.9</v>
      </c>
      <c r="H267">
        <v>40.799999999999997</v>
      </c>
      <c r="I267" s="61">
        <v>0.3</v>
      </c>
      <c r="J267" t="s">
        <v>34</v>
      </c>
      <c r="K267">
        <v>131</v>
      </c>
      <c r="L267">
        <v>8.0000000000000004E-4</v>
      </c>
      <c r="M267">
        <v>1.0999999999999999E-2</v>
      </c>
      <c r="N267">
        <v>0.40699999999999997</v>
      </c>
      <c r="O267" s="2" t="s">
        <v>228</v>
      </c>
      <c r="P267" t="s">
        <v>79</v>
      </c>
      <c r="Q267" s="19" t="str">
        <f>Tableau1[[#This Row],[Voie de transport]]&amp;Tableau1[[#This Row],[Type de chargement]]</f>
        <v>UrbainVrac</v>
      </c>
      <c r="R267" s="19" t="str">
        <f>Tableau1[[#This Row],[Voie X Fret]]&amp;Tableau1[[#This Row],[Densité de chargement ]]</f>
        <v>UrbainVracMoyen</v>
      </c>
    </row>
    <row r="268" spans="1:18" x14ac:dyDescent="0.3">
      <c r="A268" t="s">
        <v>9</v>
      </c>
      <c r="B268" t="s">
        <v>77</v>
      </c>
      <c r="C268" t="s">
        <v>15</v>
      </c>
      <c r="D268" t="s">
        <v>19</v>
      </c>
      <c r="E268" t="s">
        <v>87</v>
      </c>
      <c r="F268" s="2"/>
      <c r="G268">
        <v>1.2</v>
      </c>
      <c r="H268">
        <v>40.799999999999997</v>
      </c>
      <c r="I268" s="61">
        <v>0.3</v>
      </c>
      <c r="J268" t="s">
        <v>34</v>
      </c>
      <c r="K268">
        <v>82.2</v>
      </c>
      <c r="L268">
        <v>5.0000000000000001E-4</v>
      </c>
      <c r="M268">
        <v>6.0000000000000001E-3</v>
      </c>
      <c r="N268">
        <v>0.24199999999999999</v>
      </c>
      <c r="O268" s="2" t="s">
        <v>228</v>
      </c>
      <c r="P268" t="s">
        <v>79</v>
      </c>
      <c r="Q268" s="19" t="str">
        <f>Tableau1[[#This Row],[Voie de transport]]&amp;Tableau1[[#This Row],[Type de chargement]]</f>
        <v>RuralVrac</v>
      </c>
      <c r="R268" s="19" t="str">
        <f>Tableau1[[#This Row],[Voie X Fret]]&amp;Tableau1[[#This Row],[Densité de chargement ]]</f>
        <v>RuralVracMoyen</v>
      </c>
    </row>
    <row r="269" spans="1:18" x14ac:dyDescent="0.3">
      <c r="A269" t="s">
        <v>9</v>
      </c>
      <c r="B269" t="s">
        <v>80</v>
      </c>
      <c r="C269" t="s">
        <v>15</v>
      </c>
      <c r="D269" t="s">
        <v>19</v>
      </c>
      <c r="E269" t="s">
        <v>87</v>
      </c>
      <c r="F269" s="2"/>
      <c r="G269">
        <v>0.8</v>
      </c>
      <c r="H269">
        <v>40.799999999999997</v>
      </c>
      <c r="I269" s="61">
        <v>0.3</v>
      </c>
      <c r="J269" t="s">
        <v>34</v>
      </c>
      <c r="K269">
        <v>55.6</v>
      </c>
      <c r="L269">
        <v>2.9999999999999997E-4</v>
      </c>
      <c r="M269">
        <v>6.0000000000000001E-3</v>
      </c>
      <c r="N269">
        <v>0.16800000000000001</v>
      </c>
      <c r="O269" s="2" t="s">
        <v>228</v>
      </c>
      <c r="P269" t="s">
        <v>79</v>
      </c>
      <c r="Q269" s="19" t="str">
        <f>Tableau1[[#This Row],[Voie de transport]]&amp;Tableau1[[#This Row],[Type de chargement]]</f>
        <v>AutorouteVrac</v>
      </c>
      <c r="R269" s="19" t="str">
        <f>Tableau1[[#This Row],[Voie X Fret]]&amp;Tableau1[[#This Row],[Densité de chargement ]]</f>
        <v>AutorouteVracMoyen</v>
      </c>
    </row>
    <row r="270" spans="1:18" x14ac:dyDescent="0.3">
      <c r="A270" t="s">
        <v>9</v>
      </c>
      <c r="B270" t="s">
        <v>14</v>
      </c>
      <c r="C270" t="s">
        <v>54</v>
      </c>
      <c r="D270" t="s">
        <v>19</v>
      </c>
      <c r="E270" t="s">
        <v>82</v>
      </c>
      <c r="F270" s="2"/>
      <c r="G270">
        <v>3.6</v>
      </c>
      <c r="H270">
        <v>1</v>
      </c>
      <c r="I270" s="61">
        <v>0.3</v>
      </c>
      <c r="J270" t="s">
        <v>35</v>
      </c>
      <c r="K270">
        <v>80.800000000000011</v>
      </c>
      <c r="L270">
        <v>0.34449999999999997</v>
      </c>
      <c r="M270">
        <v>1.2999999999999999E-2</v>
      </c>
      <c r="N270">
        <v>0.11999999999999988</v>
      </c>
      <c r="O270" s="2" t="s">
        <v>228</v>
      </c>
      <c r="P270" t="s">
        <v>79</v>
      </c>
      <c r="Q270" s="19" t="str">
        <f>Tableau1[[#This Row],[Voie de transport]]&amp;Tableau1[[#This Row],[Type de chargement]]</f>
        <v>UrbainConteneur</v>
      </c>
      <c r="R270" s="19" t="str">
        <f>Tableau1[[#This Row],[Voie X Fret]]&amp;Tableau1[[#This Row],[Densité de chargement ]]</f>
        <v>UrbainConteneurMoyen</v>
      </c>
    </row>
    <row r="271" spans="1:18" x14ac:dyDescent="0.3">
      <c r="A271" t="s">
        <v>9</v>
      </c>
      <c r="B271" t="s">
        <v>77</v>
      </c>
      <c r="C271" t="s">
        <v>54</v>
      </c>
      <c r="D271" t="s">
        <v>19</v>
      </c>
      <c r="E271" t="s">
        <v>82</v>
      </c>
      <c r="F271" s="2"/>
      <c r="G271">
        <v>2.4</v>
      </c>
      <c r="H271">
        <v>1</v>
      </c>
      <c r="I271" s="61">
        <v>0.3</v>
      </c>
      <c r="J271" t="s">
        <v>35</v>
      </c>
      <c r="K271">
        <v>53.800000000000011</v>
      </c>
      <c r="L271">
        <v>0.22900000000000001</v>
      </c>
      <c r="M271">
        <v>9.0000000000000011E-3</v>
      </c>
      <c r="N271">
        <v>8.0999999999999961E-2</v>
      </c>
      <c r="O271" s="2" t="s">
        <v>228</v>
      </c>
      <c r="P271" t="s">
        <v>79</v>
      </c>
      <c r="Q271" s="19" t="str">
        <f>Tableau1[[#This Row],[Voie de transport]]&amp;Tableau1[[#This Row],[Type de chargement]]</f>
        <v>RuralConteneur</v>
      </c>
      <c r="R271" s="19" t="str">
        <f>Tableau1[[#This Row],[Voie X Fret]]&amp;Tableau1[[#This Row],[Densité de chargement ]]</f>
        <v>RuralConteneurMoyen</v>
      </c>
    </row>
    <row r="272" spans="1:18" x14ac:dyDescent="0.3">
      <c r="A272" t="s">
        <v>9</v>
      </c>
      <c r="B272" t="s">
        <v>80</v>
      </c>
      <c r="C272" t="s">
        <v>54</v>
      </c>
      <c r="D272" t="s">
        <v>19</v>
      </c>
      <c r="E272" t="s">
        <v>82</v>
      </c>
      <c r="F272" s="2"/>
      <c r="G272">
        <v>2</v>
      </c>
      <c r="H272">
        <v>1</v>
      </c>
      <c r="I272" s="61">
        <v>0.3</v>
      </c>
      <c r="J272" t="s">
        <v>35</v>
      </c>
      <c r="K272">
        <v>44.399999999999977</v>
      </c>
      <c r="L272">
        <v>0.18920000000000001</v>
      </c>
      <c r="M272">
        <v>8.0000000000000002E-3</v>
      </c>
      <c r="N272">
        <v>7.1000000000000063E-2</v>
      </c>
      <c r="O272" s="2" t="s">
        <v>228</v>
      </c>
      <c r="P272" t="s">
        <v>79</v>
      </c>
      <c r="Q272" s="19" t="str">
        <f>Tableau1[[#This Row],[Voie de transport]]&amp;Tableau1[[#This Row],[Type de chargement]]</f>
        <v>AutorouteConteneur</v>
      </c>
      <c r="R272" s="19" t="str">
        <f>Tableau1[[#This Row],[Voie X Fret]]&amp;Tableau1[[#This Row],[Densité de chargement ]]</f>
        <v>AutorouteConteneurMoyen</v>
      </c>
    </row>
    <row r="273" spans="1:18" x14ac:dyDescent="0.3">
      <c r="A273" t="s">
        <v>9</v>
      </c>
      <c r="B273" t="s">
        <v>14</v>
      </c>
      <c r="C273" t="s">
        <v>54</v>
      </c>
      <c r="D273" t="s">
        <v>19</v>
      </c>
      <c r="E273" t="s">
        <v>82</v>
      </c>
      <c r="F273" s="2"/>
      <c r="G273">
        <v>3.6</v>
      </c>
      <c r="H273">
        <v>1</v>
      </c>
      <c r="I273" s="61">
        <v>0.3</v>
      </c>
      <c r="J273" t="s">
        <v>34</v>
      </c>
      <c r="K273">
        <v>256.2</v>
      </c>
      <c r="L273">
        <v>1.5E-3</v>
      </c>
      <c r="M273">
        <v>3.9E-2</v>
      </c>
      <c r="N273">
        <v>1.89</v>
      </c>
      <c r="O273" s="2" t="s">
        <v>228</v>
      </c>
      <c r="P273" t="s">
        <v>79</v>
      </c>
      <c r="Q273" s="19" t="str">
        <f>Tableau1[[#This Row],[Voie de transport]]&amp;Tableau1[[#This Row],[Type de chargement]]</f>
        <v>UrbainConteneur</v>
      </c>
      <c r="R273" s="19" t="str">
        <f>Tableau1[[#This Row],[Voie X Fret]]&amp;Tableau1[[#This Row],[Densité de chargement ]]</f>
        <v>UrbainConteneurMoyen</v>
      </c>
    </row>
    <row r="274" spans="1:18" x14ac:dyDescent="0.3">
      <c r="A274" t="s">
        <v>9</v>
      </c>
      <c r="B274" t="s">
        <v>77</v>
      </c>
      <c r="C274" t="s">
        <v>54</v>
      </c>
      <c r="D274" t="s">
        <v>19</v>
      </c>
      <c r="E274" t="s">
        <v>82</v>
      </c>
      <c r="F274" s="2"/>
      <c r="G274">
        <v>2.4</v>
      </c>
      <c r="H274">
        <v>1</v>
      </c>
      <c r="I274" s="61">
        <v>0.3</v>
      </c>
      <c r="J274" t="s">
        <v>34</v>
      </c>
      <c r="K274">
        <v>170.7</v>
      </c>
      <c r="L274">
        <v>1E-3</v>
      </c>
      <c r="M274">
        <v>2.1999999999999999E-2</v>
      </c>
      <c r="N274">
        <v>1.2090000000000001</v>
      </c>
      <c r="O274" s="2" t="s">
        <v>228</v>
      </c>
      <c r="P274" t="s">
        <v>79</v>
      </c>
      <c r="Q274" s="19" t="str">
        <f>Tableau1[[#This Row],[Voie de transport]]&amp;Tableau1[[#This Row],[Type de chargement]]</f>
        <v>RuralConteneur</v>
      </c>
      <c r="R274" s="19" t="str">
        <f>Tableau1[[#This Row],[Voie X Fret]]&amp;Tableau1[[#This Row],[Densité de chargement ]]</f>
        <v>RuralConteneurMoyen</v>
      </c>
    </row>
    <row r="275" spans="1:18" x14ac:dyDescent="0.3">
      <c r="A275" t="s">
        <v>9</v>
      </c>
      <c r="B275" t="s">
        <v>80</v>
      </c>
      <c r="C275" t="s">
        <v>54</v>
      </c>
      <c r="D275" t="s">
        <v>19</v>
      </c>
      <c r="E275" t="s">
        <v>82</v>
      </c>
      <c r="F275" s="2"/>
      <c r="G275">
        <v>2</v>
      </c>
      <c r="H275">
        <v>1</v>
      </c>
      <c r="I275" s="61">
        <v>0.3</v>
      </c>
      <c r="J275" t="s">
        <v>34</v>
      </c>
      <c r="K275">
        <v>140.80000000000001</v>
      </c>
      <c r="L275">
        <v>8.0000000000000004E-4</v>
      </c>
      <c r="M275">
        <v>2.0999999999999998E-2</v>
      </c>
      <c r="N275">
        <v>0.84899999999999998</v>
      </c>
      <c r="O275" s="2" t="s">
        <v>228</v>
      </c>
      <c r="P275" t="s">
        <v>79</v>
      </c>
      <c r="Q275" s="19" t="str">
        <f>Tableau1[[#This Row],[Voie de transport]]&amp;Tableau1[[#This Row],[Type de chargement]]</f>
        <v>AutorouteConteneur</v>
      </c>
      <c r="R275" s="19" t="str">
        <f>Tableau1[[#This Row],[Voie X Fret]]&amp;Tableau1[[#This Row],[Densité de chargement ]]</f>
        <v>AutorouteConteneurMoyen</v>
      </c>
    </row>
    <row r="276" spans="1:18" x14ac:dyDescent="0.3">
      <c r="A276" t="s">
        <v>9</v>
      </c>
      <c r="B276" t="s">
        <v>14</v>
      </c>
      <c r="C276" t="s">
        <v>54</v>
      </c>
      <c r="D276" t="s">
        <v>19</v>
      </c>
      <c r="E276" t="s">
        <v>84</v>
      </c>
      <c r="F276" s="2"/>
      <c r="G276">
        <v>2.2999999999999998</v>
      </c>
      <c r="H276">
        <v>2</v>
      </c>
      <c r="I276" s="61">
        <v>0.3</v>
      </c>
      <c r="J276" t="s">
        <v>35</v>
      </c>
      <c r="K276">
        <v>50.099999999999994</v>
      </c>
      <c r="L276">
        <v>0.21409999999999998</v>
      </c>
      <c r="M276">
        <v>8.0000000000000002E-3</v>
      </c>
      <c r="N276">
        <v>7.1999999999999953E-2</v>
      </c>
      <c r="O276" s="2" t="s">
        <v>228</v>
      </c>
      <c r="P276" t="s">
        <v>79</v>
      </c>
      <c r="Q276" s="19" t="str">
        <f>Tableau1[[#This Row],[Voie de transport]]&amp;Tableau1[[#This Row],[Type de chargement]]</f>
        <v>UrbainConteneur</v>
      </c>
      <c r="R276" s="19" t="str">
        <f>Tableau1[[#This Row],[Voie X Fret]]&amp;Tableau1[[#This Row],[Densité de chargement ]]</f>
        <v>UrbainConteneurMoyen</v>
      </c>
    </row>
    <row r="277" spans="1:18" x14ac:dyDescent="0.3">
      <c r="A277" t="s">
        <v>9</v>
      </c>
      <c r="B277" t="s">
        <v>77</v>
      </c>
      <c r="C277" t="s">
        <v>54</v>
      </c>
      <c r="D277" t="s">
        <v>19</v>
      </c>
      <c r="E277" t="s">
        <v>84</v>
      </c>
      <c r="F277" s="2"/>
      <c r="G277">
        <v>1.4</v>
      </c>
      <c r="H277">
        <v>2</v>
      </c>
      <c r="I277" s="61">
        <v>0.3</v>
      </c>
      <c r="J277" t="s">
        <v>35</v>
      </c>
      <c r="K277">
        <v>30.300000000000011</v>
      </c>
      <c r="L277">
        <v>0.12940000000000002</v>
      </c>
      <c r="M277">
        <v>5.0000000000000001E-3</v>
      </c>
      <c r="N277">
        <v>4.3999999999999984E-2</v>
      </c>
      <c r="O277" s="2" t="s">
        <v>228</v>
      </c>
      <c r="P277" t="s">
        <v>79</v>
      </c>
      <c r="Q277" s="19" t="str">
        <f>Tableau1[[#This Row],[Voie de transport]]&amp;Tableau1[[#This Row],[Type de chargement]]</f>
        <v>RuralConteneur</v>
      </c>
      <c r="R277" s="19" t="str">
        <f>Tableau1[[#This Row],[Voie X Fret]]&amp;Tableau1[[#This Row],[Densité de chargement ]]</f>
        <v>RuralConteneurMoyen</v>
      </c>
    </row>
    <row r="278" spans="1:18" x14ac:dyDescent="0.3">
      <c r="A278" t="s">
        <v>9</v>
      </c>
      <c r="B278" t="s">
        <v>80</v>
      </c>
      <c r="C278" t="s">
        <v>54</v>
      </c>
      <c r="D278" t="s">
        <v>19</v>
      </c>
      <c r="E278" t="s">
        <v>84</v>
      </c>
      <c r="F278" s="2"/>
      <c r="G278">
        <v>1.1000000000000001</v>
      </c>
      <c r="H278">
        <v>2</v>
      </c>
      <c r="I278" s="61">
        <v>0.3</v>
      </c>
      <c r="J278" t="s">
        <v>35</v>
      </c>
      <c r="K278">
        <v>24.799999999999997</v>
      </c>
      <c r="L278">
        <v>0.1055</v>
      </c>
      <c r="M278">
        <v>4.0000000000000001E-3</v>
      </c>
      <c r="N278">
        <v>3.6999999999999977E-2</v>
      </c>
      <c r="O278" s="2" t="s">
        <v>228</v>
      </c>
      <c r="P278" t="s">
        <v>79</v>
      </c>
      <c r="Q278" s="19" t="str">
        <f>Tableau1[[#This Row],[Voie de transport]]&amp;Tableau1[[#This Row],[Type de chargement]]</f>
        <v>AutorouteConteneur</v>
      </c>
      <c r="R278" s="19" t="str">
        <f>Tableau1[[#This Row],[Voie X Fret]]&amp;Tableau1[[#This Row],[Densité de chargement ]]</f>
        <v>AutorouteConteneurMoyen</v>
      </c>
    </row>
    <row r="279" spans="1:18" x14ac:dyDescent="0.3">
      <c r="A279" t="s">
        <v>9</v>
      </c>
      <c r="B279" t="s">
        <v>14</v>
      </c>
      <c r="C279" t="s">
        <v>54</v>
      </c>
      <c r="D279" t="s">
        <v>19</v>
      </c>
      <c r="E279" t="s">
        <v>84</v>
      </c>
      <c r="F279" s="2"/>
      <c r="G279">
        <v>2.2999999999999998</v>
      </c>
      <c r="H279">
        <v>2</v>
      </c>
      <c r="I279" s="61">
        <v>0.3</v>
      </c>
      <c r="J279" t="s">
        <v>34</v>
      </c>
      <c r="K279">
        <v>159.1</v>
      </c>
      <c r="L279">
        <v>8.9999999999999998E-4</v>
      </c>
      <c r="M279">
        <v>1.7999999999999999E-2</v>
      </c>
      <c r="N279">
        <v>0.65800000000000003</v>
      </c>
      <c r="O279" s="2" t="s">
        <v>228</v>
      </c>
      <c r="P279" t="s">
        <v>79</v>
      </c>
      <c r="Q279" s="19" t="str">
        <f>Tableau1[[#This Row],[Voie de transport]]&amp;Tableau1[[#This Row],[Type de chargement]]</f>
        <v>UrbainConteneur</v>
      </c>
      <c r="R279" s="19" t="str">
        <f>Tableau1[[#This Row],[Voie X Fret]]&amp;Tableau1[[#This Row],[Densité de chargement ]]</f>
        <v>UrbainConteneurMoyen</v>
      </c>
    </row>
    <row r="280" spans="1:18" x14ac:dyDescent="0.3">
      <c r="A280" t="s">
        <v>9</v>
      </c>
      <c r="B280" t="s">
        <v>77</v>
      </c>
      <c r="C280" t="s">
        <v>54</v>
      </c>
      <c r="D280" t="s">
        <v>19</v>
      </c>
      <c r="E280" t="s">
        <v>84</v>
      </c>
      <c r="F280" s="2"/>
      <c r="G280">
        <v>1.4</v>
      </c>
      <c r="H280">
        <v>2</v>
      </c>
      <c r="I280" s="61">
        <v>0.3</v>
      </c>
      <c r="J280" t="s">
        <v>34</v>
      </c>
      <c r="K280">
        <v>96.1</v>
      </c>
      <c r="L280">
        <v>5.9999999999999995E-4</v>
      </c>
      <c r="M280">
        <v>0.01</v>
      </c>
      <c r="N280">
        <v>0.38600000000000001</v>
      </c>
      <c r="O280" s="2" t="s">
        <v>228</v>
      </c>
      <c r="P280" t="s">
        <v>79</v>
      </c>
      <c r="Q280" s="19" t="str">
        <f>Tableau1[[#This Row],[Voie de transport]]&amp;Tableau1[[#This Row],[Type de chargement]]</f>
        <v>RuralConteneur</v>
      </c>
      <c r="R280" s="19" t="str">
        <f>Tableau1[[#This Row],[Voie X Fret]]&amp;Tableau1[[#This Row],[Densité de chargement ]]</f>
        <v>RuralConteneurMoyen</v>
      </c>
    </row>
    <row r="281" spans="1:18" x14ac:dyDescent="0.3">
      <c r="A281" t="s">
        <v>9</v>
      </c>
      <c r="B281" t="s">
        <v>80</v>
      </c>
      <c r="C281" t="s">
        <v>54</v>
      </c>
      <c r="D281" t="s">
        <v>19</v>
      </c>
      <c r="E281" t="s">
        <v>84</v>
      </c>
      <c r="F281" s="2"/>
      <c r="G281">
        <v>1.1000000000000001</v>
      </c>
      <c r="H281">
        <v>2</v>
      </c>
      <c r="I281" s="61">
        <v>0.3</v>
      </c>
      <c r="J281" t="s">
        <v>34</v>
      </c>
      <c r="K281">
        <v>78.8</v>
      </c>
      <c r="L281">
        <v>5.0000000000000001E-4</v>
      </c>
      <c r="M281">
        <v>0.01</v>
      </c>
      <c r="N281">
        <v>0.253</v>
      </c>
      <c r="O281" s="2" t="s">
        <v>228</v>
      </c>
      <c r="P281" t="s">
        <v>79</v>
      </c>
      <c r="Q281" s="19" t="str">
        <f>Tableau1[[#This Row],[Voie de transport]]&amp;Tableau1[[#This Row],[Type de chargement]]</f>
        <v>AutorouteConteneur</v>
      </c>
      <c r="R281" s="19" t="str">
        <f>Tableau1[[#This Row],[Voie X Fret]]&amp;Tableau1[[#This Row],[Densité de chargement ]]</f>
        <v>AutorouteConteneurMoyen</v>
      </c>
    </row>
    <row r="282" spans="1:18" x14ac:dyDescent="0.3">
      <c r="A282" t="s">
        <v>9</v>
      </c>
      <c r="B282" t="s">
        <v>14</v>
      </c>
      <c r="C282" t="s">
        <v>54</v>
      </c>
      <c r="D282" t="s">
        <v>19</v>
      </c>
      <c r="E282" t="s">
        <v>86</v>
      </c>
      <c r="F282" s="2"/>
      <c r="G282">
        <v>2.6</v>
      </c>
      <c r="H282">
        <v>2</v>
      </c>
      <c r="I282" s="61">
        <v>0.3</v>
      </c>
      <c r="J282" t="s">
        <v>35</v>
      </c>
      <c r="K282">
        <v>58.5</v>
      </c>
      <c r="L282">
        <v>0.24890000000000001</v>
      </c>
      <c r="M282">
        <v>9.0000000000000011E-3</v>
      </c>
      <c r="N282">
        <v>8.9999999999999969E-2</v>
      </c>
      <c r="O282" s="2" t="s">
        <v>228</v>
      </c>
      <c r="P282" t="s">
        <v>79</v>
      </c>
      <c r="Q282" s="19" t="str">
        <f>Tableau1[[#This Row],[Voie de transport]]&amp;Tableau1[[#This Row],[Type de chargement]]</f>
        <v>UrbainConteneur</v>
      </c>
      <c r="R282" s="19" t="str">
        <f>Tableau1[[#This Row],[Voie X Fret]]&amp;Tableau1[[#This Row],[Densité de chargement ]]</f>
        <v>UrbainConteneurMoyen</v>
      </c>
    </row>
    <row r="283" spans="1:18" x14ac:dyDescent="0.3">
      <c r="A283" t="s">
        <v>9</v>
      </c>
      <c r="B283" t="s">
        <v>77</v>
      </c>
      <c r="C283" t="s">
        <v>54</v>
      </c>
      <c r="D283" t="s">
        <v>19</v>
      </c>
      <c r="E283" t="s">
        <v>86</v>
      </c>
      <c r="F283" s="2"/>
      <c r="G283">
        <v>1.7</v>
      </c>
      <c r="H283">
        <v>2</v>
      </c>
      <c r="I283" s="61">
        <v>0.3</v>
      </c>
      <c r="J283" t="s">
        <v>35</v>
      </c>
      <c r="K283">
        <v>36.699999999999989</v>
      </c>
      <c r="L283">
        <v>0.15629999999999999</v>
      </c>
      <c r="M283">
        <v>4.9999999999999992E-3</v>
      </c>
      <c r="N283">
        <v>5.5999999999999994E-2</v>
      </c>
      <c r="O283" s="2" t="s">
        <v>228</v>
      </c>
      <c r="P283" t="s">
        <v>79</v>
      </c>
      <c r="Q283" s="19" t="str">
        <f>Tableau1[[#This Row],[Voie de transport]]&amp;Tableau1[[#This Row],[Type de chargement]]</f>
        <v>RuralConteneur</v>
      </c>
      <c r="R283" s="19" t="str">
        <f>Tableau1[[#This Row],[Voie X Fret]]&amp;Tableau1[[#This Row],[Densité de chargement ]]</f>
        <v>RuralConteneurMoyen</v>
      </c>
    </row>
    <row r="284" spans="1:18" x14ac:dyDescent="0.3">
      <c r="A284" t="s">
        <v>9</v>
      </c>
      <c r="B284" t="s">
        <v>80</v>
      </c>
      <c r="C284" t="s">
        <v>54</v>
      </c>
      <c r="D284" t="s">
        <v>19</v>
      </c>
      <c r="E284" t="s">
        <v>86</v>
      </c>
      <c r="F284" s="2"/>
      <c r="G284">
        <v>1.1000000000000001</v>
      </c>
      <c r="H284">
        <v>2</v>
      </c>
      <c r="I284" s="61">
        <v>0.3</v>
      </c>
      <c r="J284" t="s">
        <v>35</v>
      </c>
      <c r="K284">
        <v>24.700000000000003</v>
      </c>
      <c r="L284">
        <v>0.1045</v>
      </c>
      <c r="M284">
        <v>4.0000000000000001E-3</v>
      </c>
      <c r="N284">
        <v>4.0999999999999981E-2</v>
      </c>
      <c r="O284" s="2" t="s">
        <v>228</v>
      </c>
      <c r="P284" t="s">
        <v>79</v>
      </c>
      <c r="Q284" s="19" t="str">
        <f>Tableau1[[#This Row],[Voie de transport]]&amp;Tableau1[[#This Row],[Type de chargement]]</f>
        <v>AutorouteConteneur</v>
      </c>
      <c r="R284" s="19" t="str">
        <f>Tableau1[[#This Row],[Voie X Fret]]&amp;Tableau1[[#This Row],[Densité de chargement ]]</f>
        <v>AutorouteConteneurMoyen</v>
      </c>
    </row>
    <row r="285" spans="1:18" x14ac:dyDescent="0.3">
      <c r="A285" t="s">
        <v>9</v>
      </c>
      <c r="B285" t="s">
        <v>14</v>
      </c>
      <c r="C285" t="s">
        <v>54</v>
      </c>
      <c r="D285" t="s">
        <v>19</v>
      </c>
      <c r="E285" t="s">
        <v>86</v>
      </c>
      <c r="F285" s="2"/>
      <c r="G285">
        <v>2.6</v>
      </c>
      <c r="H285">
        <v>2</v>
      </c>
      <c r="I285" s="61">
        <v>0.3</v>
      </c>
      <c r="J285" t="s">
        <v>34</v>
      </c>
      <c r="K285">
        <v>185.6</v>
      </c>
      <c r="L285">
        <v>1.1000000000000001E-3</v>
      </c>
      <c r="M285">
        <v>1.7000000000000001E-2</v>
      </c>
      <c r="N285">
        <v>0.63</v>
      </c>
      <c r="O285" s="2" t="s">
        <v>228</v>
      </c>
      <c r="P285" t="s">
        <v>79</v>
      </c>
      <c r="Q285" s="19" t="str">
        <f>Tableau1[[#This Row],[Voie de transport]]&amp;Tableau1[[#This Row],[Type de chargement]]</f>
        <v>UrbainConteneur</v>
      </c>
      <c r="R285" s="19" t="str">
        <f>Tableau1[[#This Row],[Voie X Fret]]&amp;Tableau1[[#This Row],[Densité de chargement ]]</f>
        <v>UrbainConteneurMoyen</v>
      </c>
    </row>
    <row r="286" spans="1:18" x14ac:dyDescent="0.3">
      <c r="A286" t="s">
        <v>9</v>
      </c>
      <c r="B286" t="s">
        <v>77</v>
      </c>
      <c r="C286" t="s">
        <v>54</v>
      </c>
      <c r="D286" t="s">
        <v>19</v>
      </c>
      <c r="E286" t="s">
        <v>86</v>
      </c>
      <c r="F286" s="2"/>
      <c r="G286">
        <v>1.7</v>
      </c>
      <c r="H286">
        <v>2</v>
      </c>
      <c r="I286" s="61">
        <v>0.3</v>
      </c>
      <c r="J286" t="s">
        <v>34</v>
      </c>
      <c r="K286">
        <v>116.5</v>
      </c>
      <c r="L286">
        <v>6.9999999999999999E-4</v>
      </c>
      <c r="M286">
        <v>9.0000000000000011E-3</v>
      </c>
      <c r="N286">
        <v>0.374</v>
      </c>
      <c r="O286" s="2" t="s">
        <v>228</v>
      </c>
      <c r="P286" t="s">
        <v>79</v>
      </c>
      <c r="Q286" s="19" t="str">
        <f>Tableau1[[#This Row],[Voie de transport]]&amp;Tableau1[[#This Row],[Type de chargement]]</f>
        <v>RuralConteneur</v>
      </c>
      <c r="R286" s="19" t="str">
        <f>Tableau1[[#This Row],[Voie X Fret]]&amp;Tableau1[[#This Row],[Densité de chargement ]]</f>
        <v>RuralConteneurMoyen</v>
      </c>
    </row>
    <row r="287" spans="1:18" x14ac:dyDescent="0.3">
      <c r="A287" t="s">
        <v>9</v>
      </c>
      <c r="B287" t="s">
        <v>80</v>
      </c>
      <c r="C287" t="s">
        <v>54</v>
      </c>
      <c r="D287" t="s">
        <v>19</v>
      </c>
      <c r="E287" t="s">
        <v>86</v>
      </c>
      <c r="F287" s="2"/>
      <c r="G287">
        <v>1.1000000000000001</v>
      </c>
      <c r="H287">
        <v>2</v>
      </c>
      <c r="I287" s="61">
        <v>0.3</v>
      </c>
      <c r="J287" t="s">
        <v>34</v>
      </c>
      <c r="K287">
        <v>78.099999999999994</v>
      </c>
      <c r="L287">
        <v>5.0000000000000001E-4</v>
      </c>
      <c r="M287">
        <v>8.0000000000000002E-3</v>
      </c>
      <c r="N287">
        <v>0.25900000000000001</v>
      </c>
      <c r="O287" s="2" t="s">
        <v>228</v>
      </c>
      <c r="P287" t="s">
        <v>79</v>
      </c>
      <c r="Q287" s="19" t="str">
        <f>Tableau1[[#This Row],[Voie de transport]]&amp;Tableau1[[#This Row],[Type de chargement]]</f>
        <v>AutorouteConteneur</v>
      </c>
      <c r="R287" s="19" t="str">
        <f>Tableau1[[#This Row],[Voie X Fret]]&amp;Tableau1[[#This Row],[Densité de chargement ]]</f>
        <v>AutorouteConteneurMoyen</v>
      </c>
    </row>
    <row r="288" spans="1:18" x14ac:dyDescent="0.3">
      <c r="A288" t="s">
        <v>9</v>
      </c>
      <c r="B288" t="s">
        <v>14</v>
      </c>
      <c r="C288" t="s">
        <v>54</v>
      </c>
      <c r="D288" t="s">
        <v>19</v>
      </c>
      <c r="E288" t="s">
        <v>87</v>
      </c>
      <c r="F288" s="2"/>
      <c r="G288">
        <v>2.4</v>
      </c>
      <c r="H288">
        <v>3</v>
      </c>
      <c r="I288" s="61">
        <v>0.3</v>
      </c>
      <c r="J288" t="s">
        <v>35</v>
      </c>
      <c r="K288">
        <v>52.599999999999994</v>
      </c>
      <c r="L288">
        <v>0.224</v>
      </c>
      <c r="M288">
        <v>9.0000000000000011E-3</v>
      </c>
      <c r="N288">
        <v>8.0999999999999961E-2</v>
      </c>
      <c r="O288" s="2" t="s">
        <v>228</v>
      </c>
      <c r="P288" t="s">
        <v>79</v>
      </c>
      <c r="Q288" s="19" t="str">
        <f>Tableau1[[#This Row],[Voie de transport]]&amp;Tableau1[[#This Row],[Type de chargement]]</f>
        <v>UrbainConteneur</v>
      </c>
      <c r="R288" s="19" t="str">
        <f>Tableau1[[#This Row],[Voie X Fret]]&amp;Tableau1[[#This Row],[Densité de chargement ]]</f>
        <v>UrbainConteneurMoyen</v>
      </c>
    </row>
    <row r="289" spans="1:18" x14ac:dyDescent="0.3">
      <c r="A289" t="s">
        <v>9</v>
      </c>
      <c r="B289" t="s">
        <v>77</v>
      </c>
      <c r="C289" t="s">
        <v>54</v>
      </c>
      <c r="D289" t="s">
        <v>19</v>
      </c>
      <c r="E289" t="s">
        <v>87</v>
      </c>
      <c r="F289" s="2"/>
      <c r="G289">
        <v>1.5</v>
      </c>
      <c r="H289">
        <v>3</v>
      </c>
      <c r="I289" s="61">
        <v>0.3</v>
      </c>
      <c r="J289" t="s">
        <v>35</v>
      </c>
      <c r="K289">
        <v>33.100000000000009</v>
      </c>
      <c r="L289">
        <v>0.1404</v>
      </c>
      <c r="M289">
        <v>5.0000000000000001E-3</v>
      </c>
      <c r="N289">
        <v>4.9999999999999989E-2</v>
      </c>
      <c r="O289" s="2" t="s">
        <v>228</v>
      </c>
      <c r="P289" t="s">
        <v>79</v>
      </c>
      <c r="Q289" s="19" t="str">
        <f>Tableau1[[#This Row],[Voie de transport]]&amp;Tableau1[[#This Row],[Type de chargement]]</f>
        <v>RuralConteneur</v>
      </c>
      <c r="R289" s="19" t="str">
        <f>Tableau1[[#This Row],[Voie X Fret]]&amp;Tableau1[[#This Row],[Densité de chargement ]]</f>
        <v>RuralConteneurMoyen</v>
      </c>
    </row>
    <row r="290" spans="1:18" x14ac:dyDescent="0.3">
      <c r="A290" t="s">
        <v>9</v>
      </c>
      <c r="B290" t="s">
        <v>80</v>
      </c>
      <c r="C290" t="s">
        <v>54</v>
      </c>
      <c r="D290" t="s">
        <v>19</v>
      </c>
      <c r="E290" t="s">
        <v>87</v>
      </c>
      <c r="F290" s="2"/>
      <c r="G290">
        <v>1</v>
      </c>
      <c r="H290">
        <v>3</v>
      </c>
      <c r="I290" s="61">
        <v>0.3</v>
      </c>
      <c r="J290" t="s">
        <v>35</v>
      </c>
      <c r="K290">
        <v>22.200000000000003</v>
      </c>
      <c r="L290">
        <v>9.4600000000000004E-2</v>
      </c>
      <c r="M290">
        <v>3.0000000000000001E-3</v>
      </c>
      <c r="N290">
        <v>2.8999999999999998E-2</v>
      </c>
      <c r="O290" s="2" t="s">
        <v>228</v>
      </c>
      <c r="P290" t="s">
        <v>79</v>
      </c>
      <c r="Q290" s="19" t="str">
        <f>Tableau1[[#This Row],[Voie de transport]]&amp;Tableau1[[#This Row],[Type de chargement]]</f>
        <v>AutorouteConteneur</v>
      </c>
      <c r="R290" s="19" t="str">
        <f>Tableau1[[#This Row],[Voie X Fret]]&amp;Tableau1[[#This Row],[Densité de chargement ]]</f>
        <v>AutorouteConteneurMoyen</v>
      </c>
    </row>
    <row r="291" spans="1:18" x14ac:dyDescent="0.3">
      <c r="A291" t="s">
        <v>9</v>
      </c>
      <c r="B291" t="s">
        <v>14</v>
      </c>
      <c r="C291" t="s">
        <v>54</v>
      </c>
      <c r="D291" t="s">
        <v>19</v>
      </c>
      <c r="E291" t="s">
        <v>87</v>
      </c>
      <c r="F291" s="2"/>
      <c r="G291">
        <v>2.4</v>
      </c>
      <c r="H291">
        <v>3</v>
      </c>
      <c r="I291" s="61">
        <v>0.3</v>
      </c>
      <c r="J291" t="s">
        <v>34</v>
      </c>
      <c r="K291">
        <v>167</v>
      </c>
      <c r="L291">
        <v>1E-3</v>
      </c>
      <c r="M291">
        <v>1.3999999999999999E-2</v>
      </c>
      <c r="N291">
        <v>0.53900000000000003</v>
      </c>
      <c r="O291" s="2" t="s">
        <v>228</v>
      </c>
      <c r="P291" t="s">
        <v>79</v>
      </c>
      <c r="Q291" s="19" t="str">
        <f>Tableau1[[#This Row],[Voie de transport]]&amp;Tableau1[[#This Row],[Type de chargement]]</f>
        <v>UrbainConteneur</v>
      </c>
      <c r="R291" s="19" t="str">
        <f>Tableau1[[#This Row],[Voie X Fret]]&amp;Tableau1[[#This Row],[Densité de chargement ]]</f>
        <v>UrbainConteneurMoyen</v>
      </c>
    </row>
    <row r="292" spans="1:18" x14ac:dyDescent="0.3">
      <c r="A292" t="s">
        <v>9</v>
      </c>
      <c r="B292" t="s">
        <v>77</v>
      </c>
      <c r="C292" t="s">
        <v>54</v>
      </c>
      <c r="D292" t="s">
        <v>19</v>
      </c>
      <c r="E292" t="s">
        <v>87</v>
      </c>
      <c r="F292" s="2"/>
      <c r="G292">
        <v>1.5</v>
      </c>
      <c r="H292">
        <v>3</v>
      </c>
      <c r="I292" s="61">
        <v>0.3</v>
      </c>
      <c r="J292" t="s">
        <v>34</v>
      </c>
      <c r="K292">
        <v>104.8</v>
      </c>
      <c r="L292">
        <v>5.9999999999999995E-4</v>
      </c>
      <c r="M292">
        <v>8.0000000000000002E-3</v>
      </c>
      <c r="N292">
        <v>0.32</v>
      </c>
      <c r="O292" s="2" t="s">
        <v>228</v>
      </c>
      <c r="P292" t="s">
        <v>79</v>
      </c>
      <c r="Q292" s="19" t="str">
        <f>Tableau1[[#This Row],[Voie de transport]]&amp;Tableau1[[#This Row],[Type de chargement]]</f>
        <v>RuralConteneur</v>
      </c>
      <c r="R292" s="19" t="str">
        <f>Tableau1[[#This Row],[Voie X Fret]]&amp;Tableau1[[#This Row],[Densité de chargement ]]</f>
        <v>RuralConteneurMoyen</v>
      </c>
    </row>
    <row r="293" spans="1:18" x14ac:dyDescent="0.3">
      <c r="A293" t="s">
        <v>9</v>
      </c>
      <c r="B293" t="s">
        <v>80</v>
      </c>
      <c r="C293" t="s">
        <v>54</v>
      </c>
      <c r="D293" t="s">
        <v>19</v>
      </c>
      <c r="E293" t="s">
        <v>87</v>
      </c>
      <c r="F293" s="2"/>
      <c r="G293">
        <v>1</v>
      </c>
      <c r="H293">
        <v>3</v>
      </c>
      <c r="I293" s="61">
        <v>0.3</v>
      </c>
      <c r="J293" t="s">
        <v>34</v>
      </c>
      <c r="K293">
        <v>70.3</v>
      </c>
      <c r="L293">
        <v>4.0000000000000002E-4</v>
      </c>
      <c r="M293">
        <v>8.0000000000000002E-3</v>
      </c>
      <c r="N293">
        <v>0.221</v>
      </c>
      <c r="O293" s="2" t="s">
        <v>228</v>
      </c>
      <c r="P293" t="s">
        <v>79</v>
      </c>
      <c r="Q293" s="19" t="str">
        <f>Tableau1[[#This Row],[Voie de transport]]&amp;Tableau1[[#This Row],[Type de chargement]]</f>
        <v>AutorouteConteneur</v>
      </c>
      <c r="R293" s="19" t="str">
        <f>Tableau1[[#This Row],[Voie X Fret]]&amp;Tableau1[[#This Row],[Densité de chargement ]]</f>
        <v>AutorouteConteneurMoyen</v>
      </c>
    </row>
  </sheetData>
  <sheetProtection algorithmName="SHA-512" hashValue="9xe813fzKRk25d5U6PNnEou05SkXX420z9UspZXrgOQdER4A8SA9Tf3JAHtvLq+d7yRQ6gPNkRnN6FHb7OlIsQ==" saltValue="Pu/RXlrtNP04SnEntnURqQ==" spinCount="100000" sheet="1" objects="1" scenarios="1"/>
  <phoneticPr fontId="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55A7-A076-4AE9-AC44-88A2D528CD7F}">
  <sheetPr>
    <tabColor theme="5"/>
  </sheetPr>
  <dimension ref="A1:N124"/>
  <sheetViews>
    <sheetView topLeftCell="A72" zoomScale="80" zoomScaleNormal="80" workbookViewId="0">
      <selection activeCell="G81" sqref="G81:G114"/>
    </sheetView>
  </sheetViews>
  <sheetFormatPr baseColWidth="10" defaultRowHeight="14.4" x14ac:dyDescent="0.3"/>
  <cols>
    <col min="1" max="1" width="19.88671875" bestFit="1" customWidth="1"/>
    <col min="2" max="2" width="34.44140625" bestFit="1" customWidth="1"/>
    <col min="3" max="3" width="22.109375" customWidth="1"/>
    <col min="4" max="4" width="31.6640625" bestFit="1" customWidth="1"/>
    <col min="5" max="5" width="18.88671875" bestFit="1" customWidth="1"/>
    <col min="6" max="6" width="16.33203125" bestFit="1" customWidth="1"/>
    <col min="7" max="7" width="25.88671875" bestFit="1" customWidth="1"/>
    <col min="8" max="8" width="18.6640625" bestFit="1" customWidth="1"/>
    <col min="9" max="9" width="25.5546875" customWidth="1"/>
    <col min="10" max="10" width="58.88671875" bestFit="1" customWidth="1"/>
  </cols>
  <sheetData>
    <row r="1" spans="1:8" hidden="1" x14ac:dyDescent="0.3">
      <c r="C1" s="266"/>
      <c r="D1" s="266"/>
    </row>
    <row r="2" spans="1:8" hidden="1" x14ac:dyDescent="0.3">
      <c r="C2" t="s">
        <v>168</v>
      </c>
      <c r="D2" t="s">
        <v>169</v>
      </c>
      <c r="E2" t="s">
        <v>51</v>
      </c>
      <c r="G2" t="s">
        <v>173</v>
      </c>
      <c r="H2" t="s">
        <v>174</v>
      </c>
    </row>
    <row r="3" spans="1:8" hidden="1" x14ac:dyDescent="0.3">
      <c r="B3" t="s">
        <v>109</v>
      </c>
      <c r="C3">
        <v>2.2054999999999998</v>
      </c>
      <c r="D3">
        <v>0.49349999999999999</v>
      </c>
      <c r="E3" t="s">
        <v>167</v>
      </c>
      <c r="F3" t="s">
        <v>111</v>
      </c>
      <c r="G3">
        <v>1.9048499999999999</v>
      </c>
      <c r="H3">
        <v>0.43424299999999999</v>
      </c>
    </row>
    <row r="4" spans="1:8" hidden="1" x14ac:dyDescent="0.3">
      <c r="B4" t="s">
        <v>172</v>
      </c>
      <c r="C4">
        <v>2.4910899999999998</v>
      </c>
      <c r="D4">
        <v>0.60880000000000001</v>
      </c>
      <c r="E4" t="s">
        <v>167</v>
      </c>
      <c r="F4" t="s">
        <v>178</v>
      </c>
      <c r="G4">
        <v>0.46499999999999997</v>
      </c>
      <c r="H4">
        <v>1.5990000000000001E-2</v>
      </c>
    </row>
    <row r="5" spans="1:8" hidden="1" x14ac:dyDescent="0.3">
      <c r="B5" t="s">
        <v>170</v>
      </c>
      <c r="C5">
        <v>2.4102600000000001</v>
      </c>
      <c r="D5">
        <v>0.62839999999999996</v>
      </c>
      <c r="E5" t="s">
        <v>167</v>
      </c>
    </row>
    <row r="6" spans="1:8" hidden="1" x14ac:dyDescent="0.3">
      <c r="B6" t="s">
        <v>171</v>
      </c>
      <c r="C6">
        <v>0</v>
      </c>
      <c r="D6">
        <v>1.2121999999999999</v>
      </c>
      <c r="E6" t="s">
        <v>167</v>
      </c>
    </row>
    <row r="7" spans="1:8" hidden="1" x14ac:dyDescent="0.3">
      <c r="B7" t="s">
        <v>110</v>
      </c>
      <c r="C7">
        <v>1.69432</v>
      </c>
      <c r="D7">
        <v>0.45691299999999996</v>
      </c>
      <c r="E7" t="s">
        <v>167</v>
      </c>
    </row>
    <row r="8" spans="1:8" hidden="1" x14ac:dyDescent="0.3">
      <c r="B8" t="s">
        <v>175</v>
      </c>
      <c r="C8">
        <v>1.5985500000000001</v>
      </c>
      <c r="D8">
        <v>0.26180000000000003</v>
      </c>
    </row>
    <row r="9" spans="1:8" hidden="1" x14ac:dyDescent="0.3">
      <c r="B9" t="s">
        <v>176</v>
      </c>
      <c r="C9">
        <v>0</v>
      </c>
      <c r="D9">
        <v>1.0113000000000001</v>
      </c>
    </row>
    <row r="10" spans="1:8" hidden="1" x14ac:dyDescent="0.3">
      <c r="B10" t="s">
        <v>177</v>
      </c>
      <c r="C10">
        <v>0</v>
      </c>
      <c r="D10">
        <v>0.84789999999999999</v>
      </c>
    </row>
    <row r="11" spans="1:8" hidden="1" x14ac:dyDescent="0.3">
      <c r="B11" t="s">
        <v>179</v>
      </c>
      <c r="C11">
        <v>2.48</v>
      </c>
      <c r="D11">
        <v>0.45289999999999997</v>
      </c>
    </row>
    <row r="12" spans="1:8" hidden="1" x14ac:dyDescent="0.3"/>
    <row r="13" spans="1:8" hidden="1" x14ac:dyDescent="0.3"/>
    <row r="14" spans="1:8" hidden="1" x14ac:dyDescent="0.3"/>
    <row r="15" spans="1:8" hidden="1" x14ac:dyDescent="0.3">
      <c r="A15" t="s">
        <v>17</v>
      </c>
    </row>
    <row r="16" spans="1:8" hidden="1" x14ac:dyDescent="0.3"/>
    <row r="17" spans="2:14" hidden="1" x14ac:dyDescent="0.3">
      <c r="B17" t="s">
        <v>181</v>
      </c>
      <c r="C17" t="s">
        <v>182</v>
      </c>
      <c r="D17" t="s">
        <v>183</v>
      </c>
      <c r="E17" t="s">
        <v>184</v>
      </c>
      <c r="F17" s="266" t="s">
        <v>199</v>
      </c>
      <c r="G17" s="266"/>
      <c r="H17" s="266"/>
      <c r="I17" s="2"/>
      <c r="J17" s="266" t="s">
        <v>200</v>
      </c>
      <c r="K17" s="266"/>
      <c r="L17" s="266"/>
      <c r="M17" s="266"/>
    </row>
    <row r="18" spans="2:14" hidden="1" x14ac:dyDescent="0.3">
      <c r="F18" t="s">
        <v>198</v>
      </c>
      <c r="G18" t="s">
        <v>185</v>
      </c>
      <c r="H18" t="s">
        <v>48</v>
      </c>
      <c r="J18" t="s">
        <v>47</v>
      </c>
      <c r="K18" t="s">
        <v>50</v>
      </c>
      <c r="L18" t="s">
        <v>186</v>
      </c>
      <c r="M18" t="s">
        <v>187</v>
      </c>
      <c r="N18" t="s">
        <v>115</v>
      </c>
    </row>
    <row r="19" spans="2:14" hidden="1" x14ac:dyDescent="0.3">
      <c r="B19" t="s">
        <v>230</v>
      </c>
      <c r="C19" t="s">
        <v>188</v>
      </c>
      <c r="D19">
        <v>0.84</v>
      </c>
      <c r="E19">
        <v>43.2</v>
      </c>
      <c r="F19" t="s">
        <v>189</v>
      </c>
      <c r="G19">
        <v>72.5</v>
      </c>
      <c r="H19">
        <v>4.4000000000000002E-4</v>
      </c>
      <c r="J19">
        <v>22.6</v>
      </c>
      <c r="K19">
        <v>3.2000000000000001E-2</v>
      </c>
      <c r="L19">
        <v>3.0000000000000001E-3</v>
      </c>
      <c r="M19">
        <v>9.8000000000000004E-2</v>
      </c>
      <c r="N19" t="s">
        <v>115</v>
      </c>
    </row>
    <row r="20" spans="2:14" hidden="1" x14ac:dyDescent="0.3">
      <c r="B20" t="s">
        <v>231</v>
      </c>
      <c r="C20" t="s">
        <v>188</v>
      </c>
      <c r="D20">
        <v>0.88</v>
      </c>
      <c r="E20">
        <v>37</v>
      </c>
      <c r="F20" t="s">
        <v>189</v>
      </c>
      <c r="G20" t="s">
        <v>190</v>
      </c>
      <c r="H20">
        <v>3.77E-4</v>
      </c>
      <c r="J20">
        <v>13.5</v>
      </c>
      <c r="K20">
        <v>0.05</v>
      </c>
      <c r="L20">
        <v>8.0000000000000002E-3</v>
      </c>
      <c r="M20">
        <v>2.5999999999999999E-2</v>
      </c>
      <c r="N20" t="s">
        <v>115</v>
      </c>
    </row>
    <row r="21" spans="2:14" hidden="1" x14ac:dyDescent="0.3">
      <c r="B21" s="51" t="s">
        <v>26</v>
      </c>
      <c r="C21" t="s">
        <v>197</v>
      </c>
      <c r="D21">
        <v>0.84</v>
      </c>
      <c r="E21">
        <v>42.8</v>
      </c>
      <c r="F21">
        <v>69.5</v>
      </c>
      <c r="G21">
        <v>68.900000000000006</v>
      </c>
      <c r="H21">
        <v>4.4000000000000002E-4</v>
      </c>
      <c r="J21">
        <v>22.1</v>
      </c>
      <c r="K21">
        <v>3.3000000000000002E-2</v>
      </c>
      <c r="L21">
        <v>4.0000000000000001E-3</v>
      </c>
      <c r="M21">
        <v>9.4E-2</v>
      </c>
      <c r="N21" t="s">
        <v>115</v>
      </c>
    </row>
    <row r="22" spans="2:14" hidden="1" x14ac:dyDescent="0.3">
      <c r="B22" s="51" t="s">
        <v>26</v>
      </c>
      <c r="C22" t="s">
        <v>191</v>
      </c>
      <c r="D22">
        <v>0.84</v>
      </c>
      <c r="E22">
        <v>42.8</v>
      </c>
      <c r="F22">
        <v>69.3</v>
      </c>
      <c r="G22">
        <f t="shared" ref="G22:M22" si="0">G21</f>
        <v>68.900000000000006</v>
      </c>
      <c r="H22">
        <f t="shared" si="0"/>
        <v>4.4000000000000002E-4</v>
      </c>
      <c r="J22">
        <f t="shared" si="0"/>
        <v>22.1</v>
      </c>
      <c r="K22">
        <f t="shared" si="0"/>
        <v>3.3000000000000002E-2</v>
      </c>
      <c r="L22">
        <f t="shared" si="0"/>
        <v>4.0000000000000001E-3</v>
      </c>
      <c r="M22">
        <f t="shared" si="0"/>
        <v>9.4E-2</v>
      </c>
    </row>
    <row r="23" spans="2:14" hidden="1" x14ac:dyDescent="0.3">
      <c r="B23" s="51" t="s">
        <v>232</v>
      </c>
      <c r="C23" t="s">
        <v>192</v>
      </c>
      <c r="D23">
        <v>0.84</v>
      </c>
      <c r="E23">
        <v>42.8</v>
      </c>
      <c r="F23">
        <v>70</v>
      </c>
      <c r="G23">
        <f t="shared" ref="G23:G25" si="1">G22</f>
        <v>68.900000000000006</v>
      </c>
      <c r="H23">
        <f t="shared" ref="H23:H25" si="2">H22</f>
        <v>4.4000000000000002E-4</v>
      </c>
      <c r="J23">
        <f t="shared" ref="J23:J25" si="3">J22</f>
        <v>22.1</v>
      </c>
      <c r="K23">
        <f t="shared" ref="K23:K25" si="4">K22</f>
        <v>3.3000000000000002E-2</v>
      </c>
      <c r="L23">
        <f t="shared" ref="L23:L25" si="5">L22</f>
        <v>4.0000000000000001E-3</v>
      </c>
      <c r="M23">
        <f t="shared" ref="M23:M25" si="6">M22</f>
        <v>9.4E-2</v>
      </c>
    </row>
    <row r="24" spans="2:14" hidden="1" x14ac:dyDescent="0.3">
      <c r="B24" s="51" t="s">
        <v>233</v>
      </c>
      <c r="C24" t="s">
        <v>193</v>
      </c>
      <c r="D24">
        <v>0.84</v>
      </c>
      <c r="E24">
        <v>42.8</v>
      </c>
      <c r="F24">
        <v>69.599999999999994</v>
      </c>
      <c r="G24">
        <f t="shared" si="1"/>
        <v>68.900000000000006</v>
      </c>
      <c r="H24">
        <f t="shared" si="2"/>
        <v>4.4000000000000002E-4</v>
      </c>
      <c r="J24">
        <f t="shared" si="3"/>
        <v>22.1</v>
      </c>
      <c r="K24">
        <f t="shared" si="4"/>
        <v>3.3000000000000002E-2</v>
      </c>
      <c r="L24">
        <f t="shared" si="5"/>
        <v>4.0000000000000001E-3</v>
      </c>
      <c r="M24">
        <f t="shared" si="6"/>
        <v>9.4E-2</v>
      </c>
    </row>
    <row r="25" spans="2:14" hidden="1" x14ac:dyDescent="0.3">
      <c r="B25" s="51" t="s">
        <v>234</v>
      </c>
      <c r="C25" t="s">
        <v>194</v>
      </c>
      <c r="D25">
        <v>0.84</v>
      </c>
      <c r="E25">
        <v>42.8</v>
      </c>
      <c r="F25">
        <v>69.2</v>
      </c>
      <c r="G25">
        <f t="shared" si="1"/>
        <v>68.900000000000006</v>
      </c>
      <c r="H25">
        <f t="shared" si="2"/>
        <v>4.4000000000000002E-4</v>
      </c>
      <c r="J25">
        <f t="shared" si="3"/>
        <v>22.1</v>
      </c>
      <c r="K25">
        <f t="shared" si="4"/>
        <v>3.3000000000000002E-2</v>
      </c>
      <c r="L25">
        <f t="shared" si="5"/>
        <v>4.0000000000000001E-3</v>
      </c>
      <c r="M25">
        <f t="shared" si="6"/>
        <v>9.4E-2</v>
      </c>
    </row>
    <row r="26" spans="2:14" hidden="1" x14ac:dyDescent="0.3">
      <c r="B26" s="51" t="s">
        <v>235</v>
      </c>
      <c r="C26" t="s">
        <v>201</v>
      </c>
      <c r="D26" t="s">
        <v>217</v>
      </c>
      <c r="E26" t="s">
        <v>217</v>
      </c>
      <c r="F26" t="s">
        <v>190</v>
      </c>
      <c r="G26" t="s">
        <v>190</v>
      </c>
      <c r="H26" t="s">
        <v>190</v>
      </c>
      <c r="J26">
        <v>134.9</v>
      </c>
      <c r="K26">
        <v>9.6000000000000002E-2</v>
      </c>
      <c r="L26">
        <v>5.0000000000000001E-3</v>
      </c>
      <c r="M26">
        <v>0.04</v>
      </c>
      <c r="N26" t="s">
        <v>115</v>
      </c>
    </row>
    <row r="27" spans="2:14" hidden="1" x14ac:dyDescent="0.3">
      <c r="B27" s="51" t="s">
        <v>236</v>
      </c>
      <c r="C27" t="s">
        <v>195</v>
      </c>
      <c r="D27" t="s">
        <v>217</v>
      </c>
      <c r="E27" t="s">
        <v>217</v>
      </c>
      <c r="F27" t="s">
        <v>190</v>
      </c>
      <c r="G27" t="s">
        <v>190</v>
      </c>
      <c r="H27" t="s">
        <v>190</v>
      </c>
      <c r="J27">
        <v>137.30000000000001</v>
      </c>
      <c r="K27">
        <v>9.7000000000000003E-2</v>
      </c>
      <c r="L27">
        <v>5.0000000000000001E-3</v>
      </c>
      <c r="M27">
        <v>4.1000000000000002E-2</v>
      </c>
      <c r="N27" t="s">
        <v>115</v>
      </c>
    </row>
    <row r="28" spans="2:14" hidden="1" x14ac:dyDescent="0.3">
      <c r="B28" s="51" t="s">
        <v>210</v>
      </c>
      <c r="C28" t="s">
        <v>202</v>
      </c>
      <c r="D28">
        <v>0.75</v>
      </c>
      <c r="E28">
        <v>43</v>
      </c>
      <c r="F28" t="s">
        <v>196</v>
      </c>
      <c r="G28">
        <v>73</v>
      </c>
      <c r="H28">
        <v>4.4999999999999999E-4</v>
      </c>
      <c r="J28">
        <v>20.3</v>
      </c>
      <c r="K28">
        <v>4.1000000000000002E-2</v>
      </c>
      <c r="L28">
        <v>4.0000000000000001E-3</v>
      </c>
      <c r="M28">
        <v>0.126</v>
      </c>
      <c r="N28" t="s">
        <v>115</v>
      </c>
    </row>
    <row r="29" spans="2:14" hidden="1" x14ac:dyDescent="0.3">
      <c r="B29" s="51" t="s">
        <v>210</v>
      </c>
      <c r="C29" t="s">
        <v>203</v>
      </c>
      <c r="D29">
        <v>0.748</v>
      </c>
      <c r="E29">
        <v>27</v>
      </c>
      <c r="F29" t="s">
        <v>196</v>
      </c>
      <c r="G29" t="s">
        <v>190</v>
      </c>
      <c r="H29">
        <v>4.4999999999999999E-4</v>
      </c>
      <c r="J29" t="s">
        <v>218</v>
      </c>
      <c r="K29">
        <v>0.16</v>
      </c>
      <c r="L29">
        <v>2.9000000000000001E-2</v>
      </c>
      <c r="M29">
        <v>0.20499999999999999</v>
      </c>
      <c r="N29" t="s">
        <v>115</v>
      </c>
    </row>
    <row r="30" spans="2:14" hidden="1" x14ac:dyDescent="0.3">
      <c r="B30" s="51" t="s">
        <v>210</v>
      </c>
      <c r="C30" t="s">
        <v>204</v>
      </c>
      <c r="D30">
        <v>0.75</v>
      </c>
      <c r="E30">
        <v>42</v>
      </c>
      <c r="F30">
        <v>70.900000000000006</v>
      </c>
      <c r="G30">
        <v>70.2</v>
      </c>
      <c r="H30">
        <v>4.4999999999999999E-4</v>
      </c>
      <c r="J30" t="s">
        <v>219</v>
      </c>
      <c r="K30">
        <v>4.9000000000000002E-2</v>
      </c>
      <c r="L30">
        <v>6.0000000000000001E-3</v>
      </c>
      <c r="M30">
        <v>0.13100000000000001</v>
      </c>
      <c r="N30" t="s">
        <v>115</v>
      </c>
    </row>
    <row r="31" spans="2:14" hidden="1" x14ac:dyDescent="0.3">
      <c r="B31" s="51" t="s">
        <v>212</v>
      </c>
      <c r="C31" t="s">
        <v>211</v>
      </c>
      <c r="D31">
        <v>0.53600000000000003</v>
      </c>
      <c r="E31">
        <v>45</v>
      </c>
      <c r="F31">
        <v>67</v>
      </c>
      <c r="G31">
        <v>66.7</v>
      </c>
      <c r="H31">
        <v>2.0000000000000001E-4</v>
      </c>
      <c r="J31">
        <v>6.9</v>
      </c>
      <c r="K31">
        <v>4.4999999999999998E-2</v>
      </c>
      <c r="L31">
        <v>3.0000000000000001E-3</v>
      </c>
      <c r="M31">
        <v>3.9E-2</v>
      </c>
      <c r="N31" t="s">
        <v>115</v>
      </c>
    </row>
    <row r="32" spans="2:14" hidden="1" x14ac:dyDescent="0.3">
      <c r="B32" s="51" t="s">
        <v>237</v>
      </c>
      <c r="C32" t="s">
        <v>192</v>
      </c>
      <c r="D32">
        <v>0.53600000000000003</v>
      </c>
      <c r="E32">
        <f>E31</f>
        <v>45</v>
      </c>
      <c r="F32">
        <v>67.5</v>
      </c>
      <c r="G32">
        <f>G31</f>
        <v>66.7</v>
      </c>
      <c r="H32">
        <f t="shared" ref="H32:M32" si="7">H31</f>
        <v>2.0000000000000001E-4</v>
      </c>
      <c r="J32">
        <f t="shared" si="7"/>
        <v>6.9</v>
      </c>
      <c r="K32">
        <f t="shared" si="7"/>
        <v>4.4999999999999998E-2</v>
      </c>
      <c r="L32">
        <f t="shared" si="7"/>
        <v>3.0000000000000001E-3</v>
      </c>
      <c r="M32">
        <f t="shared" si="7"/>
        <v>3.9E-2</v>
      </c>
    </row>
    <row r="33" spans="2:14" hidden="1" x14ac:dyDescent="0.3">
      <c r="B33" s="51" t="s">
        <v>238</v>
      </c>
      <c r="C33" t="s">
        <v>213</v>
      </c>
      <c r="D33">
        <v>0.78500000000000003</v>
      </c>
      <c r="E33">
        <v>44</v>
      </c>
      <c r="F33">
        <v>1.1000000000000001</v>
      </c>
      <c r="G33" t="s">
        <v>190</v>
      </c>
      <c r="H33">
        <v>2.3000000000000001E-4</v>
      </c>
      <c r="J33">
        <v>9.4</v>
      </c>
      <c r="K33">
        <v>0.05</v>
      </c>
      <c r="L33">
        <v>8.0000000000000002E-3</v>
      </c>
      <c r="M33">
        <v>2.5999999999999999E-2</v>
      </c>
      <c r="N33" t="s">
        <v>115</v>
      </c>
    </row>
    <row r="34" spans="2:14" hidden="1" x14ac:dyDescent="0.3">
      <c r="B34" s="51" t="s">
        <v>239</v>
      </c>
      <c r="C34" t="s">
        <v>205</v>
      </c>
      <c r="D34">
        <f>D33</f>
        <v>0.78500000000000003</v>
      </c>
      <c r="E34">
        <f>E33</f>
        <v>44</v>
      </c>
      <c r="F34" s="18">
        <v>0.7</v>
      </c>
      <c r="G34" t="str">
        <f>G33</f>
        <v xml:space="preserve">- </v>
      </c>
      <c r="H34">
        <f t="shared" ref="H34:M34" si="8">H33</f>
        <v>2.3000000000000001E-4</v>
      </c>
      <c r="J34">
        <f t="shared" si="8"/>
        <v>9.4</v>
      </c>
      <c r="K34">
        <f t="shared" si="8"/>
        <v>0.05</v>
      </c>
      <c r="L34">
        <f t="shared" si="8"/>
        <v>8.0000000000000002E-3</v>
      </c>
      <c r="M34">
        <f t="shared" si="8"/>
        <v>2.5999999999999999E-2</v>
      </c>
    </row>
    <row r="35" spans="2:14" hidden="1" x14ac:dyDescent="0.3">
      <c r="B35" s="51" t="s">
        <v>240</v>
      </c>
      <c r="C35" t="s">
        <v>192</v>
      </c>
      <c r="D35">
        <v>0.16700000000000001</v>
      </c>
      <c r="E35">
        <v>38</v>
      </c>
      <c r="F35">
        <v>60.1</v>
      </c>
      <c r="G35">
        <v>56.5</v>
      </c>
      <c r="H35">
        <v>2.0000000000000001E-4</v>
      </c>
      <c r="J35">
        <v>9.1999999999999993</v>
      </c>
      <c r="K35">
        <v>6.0000000000000001E-3</v>
      </c>
      <c r="L35">
        <v>1E-4</v>
      </c>
      <c r="M35">
        <v>2.9999999999999997E-4</v>
      </c>
      <c r="N35" t="s">
        <v>115</v>
      </c>
    </row>
    <row r="36" spans="2:14" hidden="1" x14ac:dyDescent="0.3">
      <c r="B36" s="51" t="s">
        <v>241</v>
      </c>
      <c r="C36" t="s">
        <v>192</v>
      </c>
      <c r="D36">
        <v>0.16700000000000001</v>
      </c>
      <c r="E36">
        <v>38</v>
      </c>
      <c r="F36">
        <v>3.6</v>
      </c>
      <c r="G36" t="s">
        <v>190</v>
      </c>
      <c r="H36">
        <v>2.0000000000000001E-4</v>
      </c>
      <c r="J36">
        <v>24</v>
      </c>
      <c r="K36">
        <v>1.6E-2</v>
      </c>
      <c r="L36">
        <v>1E-3</v>
      </c>
      <c r="M36">
        <v>6.0000000000000001E-3</v>
      </c>
      <c r="N36" t="s">
        <v>115</v>
      </c>
    </row>
    <row r="37" spans="2:14" hidden="1" x14ac:dyDescent="0.3">
      <c r="B37" s="51" t="s">
        <v>242</v>
      </c>
      <c r="C37" t="s">
        <v>220</v>
      </c>
      <c r="D37">
        <v>0.45</v>
      </c>
      <c r="E37">
        <v>49</v>
      </c>
      <c r="F37">
        <v>60.1</v>
      </c>
      <c r="G37">
        <v>56.5</v>
      </c>
      <c r="H37">
        <v>2.0000000000000001E-4</v>
      </c>
      <c r="J37">
        <v>14.4</v>
      </c>
      <c r="K37">
        <v>2.7E-2</v>
      </c>
      <c r="L37">
        <v>1E-3</v>
      </c>
      <c r="M37">
        <v>4.0000000000000002E-4</v>
      </c>
      <c r="N37" t="s">
        <v>115</v>
      </c>
    </row>
    <row r="38" spans="2:14" hidden="1" x14ac:dyDescent="0.3">
      <c r="B38" s="51" t="s">
        <v>243</v>
      </c>
      <c r="C38" t="s">
        <v>221</v>
      </c>
      <c r="D38">
        <f>D37</f>
        <v>0.45</v>
      </c>
      <c r="E38">
        <f>E37</f>
        <v>49</v>
      </c>
      <c r="F38">
        <v>73.5</v>
      </c>
      <c r="G38">
        <f>G37</f>
        <v>56.5</v>
      </c>
      <c r="H38">
        <f t="shared" ref="H38:M38" si="9">H37</f>
        <v>2.0000000000000001E-4</v>
      </c>
      <c r="J38">
        <f t="shared" si="9"/>
        <v>14.4</v>
      </c>
      <c r="K38">
        <f t="shared" si="9"/>
        <v>2.7E-2</v>
      </c>
      <c r="L38">
        <f t="shared" si="9"/>
        <v>1E-3</v>
      </c>
      <c r="M38">
        <f t="shared" si="9"/>
        <v>4.0000000000000002E-4</v>
      </c>
    </row>
    <row r="39" spans="2:14" hidden="1" x14ac:dyDescent="0.3">
      <c r="B39" s="51" t="s">
        <v>244</v>
      </c>
      <c r="C39" t="s">
        <v>220</v>
      </c>
      <c r="D39">
        <v>0.45</v>
      </c>
      <c r="E39">
        <v>49</v>
      </c>
      <c r="F39">
        <v>3.6</v>
      </c>
      <c r="G39" t="s">
        <v>190</v>
      </c>
      <c r="H39">
        <v>2.0000000000000001E-4</v>
      </c>
      <c r="J39">
        <v>25.6</v>
      </c>
      <c r="K39">
        <v>1.6E-2</v>
      </c>
      <c r="L39">
        <v>1E-3</v>
      </c>
      <c r="M39">
        <v>6.0000000000000001E-3</v>
      </c>
      <c r="N39" t="s">
        <v>115</v>
      </c>
    </row>
    <row r="40" spans="2:14" hidden="1" x14ac:dyDescent="0.3">
      <c r="B40" s="51" t="s">
        <v>245</v>
      </c>
      <c r="C40" t="s">
        <v>221</v>
      </c>
      <c r="D40">
        <f>D39</f>
        <v>0.45</v>
      </c>
      <c r="E40">
        <f>E39</f>
        <v>49</v>
      </c>
      <c r="F40">
        <v>17.899999999999999</v>
      </c>
      <c r="G40" t="str">
        <f>G39</f>
        <v xml:space="preserve">- </v>
      </c>
      <c r="H40">
        <f t="shared" ref="H40:M40" si="10">H39</f>
        <v>2.0000000000000001E-4</v>
      </c>
      <c r="J40">
        <f t="shared" si="10"/>
        <v>25.6</v>
      </c>
      <c r="K40">
        <f t="shared" si="10"/>
        <v>1.6E-2</v>
      </c>
      <c r="L40">
        <f t="shared" si="10"/>
        <v>1E-3</v>
      </c>
      <c r="M40">
        <f t="shared" si="10"/>
        <v>6.0000000000000001E-3</v>
      </c>
    </row>
    <row r="41" spans="2:14" hidden="1" x14ac:dyDescent="0.3">
      <c r="B41" s="51" t="s">
        <v>246</v>
      </c>
      <c r="C41" t="s">
        <v>213</v>
      </c>
      <c r="D41">
        <v>0.78</v>
      </c>
      <c r="E41">
        <v>44</v>
      </c>
      <c r="F41">
        <v>72</v>
      </c>
      <c r="G41">
        <v>70.900000000000006</v>
      </c>
      <c r="H41">
        <v>2.0000000000000001E-4</v>
      </c>
      <c r="J41">
        <v>23.4</v>
      </c>
      <c r="K41">
        <v>3.5999999999999997E-2</v>
      </c>
      <c r="L41">
        <v>4.0000000000000001E-3</v>
      </c>
      <c r="M41">
        <v>0.111</v>
      </c>
      <c r="N41" t="s">
        <v>115</v>
      </c>
    </row>
    <row r="42" spans="2:14" hidden="1" x14ac:dyDescent="0.3">
      <c r="B42" s="51" t="s">
        <v>247</v>
      </c>
      <c r="C42" t="s">
        <v>193</v>
      </c>
      <c r="D42">
        <f>D41</f>
        <v>0.78</v>
      </c>
      <c r="E42">
        <f>E41</f>
        <v>44</v>
      </c>
      <c r="F42">
        <v>71.599999999999994</v>
      </c>
      <c r="G42">
        <f>G41</f>
        <v>70.900000000000006</v>
      </c>
      <c r="H42">
        <f t="shared" ref="H42:M42" si="11">H41</f>
        <v>2.0000000000000001E-4</v>
      </c>
      <c r="J42">
        <f t="shared" si="11"/>
        <v>23.4</v>
      </c>
      <c r="K42">
        <f t="shared" si="11"/>
        <v>3.5999999999999997E-2</v>
      </c>
      <c r="L42">
        <f t="shared" si="11"/>
        <v>4.0000000000000001E-3</v>
      </c>
      <c r="M42">
        <f t="shared" si="11"/>
        <v>0.111</v>
      </c>
    </row>
    <row r="43" spans="2:14" hidden="1" x14ac:dyDescent="0.3">
      <c r="B43" t="s">
        <v>248</v>
      </c>
      <c r="C43" t="s">
        <v>206</v>
      </c>
      <c r="D43" t="s">
        <v>196</v>
      </c>
      <c r="E43">
        <v>120</v>
      </c>
      <c r="F43" t="s">
        <v>190</v>
      </c>
      <c r="G43" t="s">
        <v>190</v>
      </c>
      <c r="H43" t="s">
        <v>190</v>
      </c>
      <c r="J43">
        <v>104.3</v>
      </c>
      <c r="K43">
        <v>0.13400000000000001</v>
      </c>
      <c r="L43">
        <v>1.9E-2</v>
      </c>
      <c r="M43">
        <v>0.13300000000000001</v>
      </c>
      <c r="N43" t="s">
        <v>115</v>
      </c>
    </row>
    <row r="44" spans="2:14" hidden="1" x14ac:dyDescent="0.3">
      <c r="B44" t="s">
        <v>249</v>
      </c>
      <c r="C44" t="s">
        <v>206</v>
      </c>
      <c r="D44" t="s">
        <v>196</v>
      </c>
      <c r="E44">
        <v>120</v>
      </c>
      <c r="F44" t="s">
        <v>190</v>
      </c>
      <c r="G44" t="s">
        <v>190</v>
      </c>
      <c r="H44" t="s">
        <v>190</v>
      </c>
      <c r="J44">
        <v>9.1</v>
      </c>
      <c r="K44">
        <v>1E-4</v>
      </c>
      <c r="L44">
        <v>1.0000000000000001E-5</v>
      </c>
      <c r="M44">
        <v>1E-4</v>
      </c>
      <c r="N44" t="s">
        <v>115</v>
      </c>
    </row>
    <row r="45" spans="2:14" hidden="1" x14ac:dyDescent="0.3">
      <c r="B45" t="s">
        <v>207</v>
      </c>
      <c r="C45" t="s">
        <v>208</v>
      </c>
      <c r="D45" t="s">
        <v>196</v>
      </c>
      <c r="E45" t="s">
        <v>217</v>
      </c>
      <c r="F45" t="s">
        <v>190</v>
      </c>
      <c r="G45" t="s">
        <v>190</v>
      </c>
      <c r="H45" t="s">
        <v>190</v>
      </c>
      <c r="J45">
        <v>9.8699999999999992</v>
      </c>
      <c r="K45">
        <v>1.7999999999999999E-2</v>
      </c>
      <c r="L45">
        <v>2E-3</v>
      </c>
      <c r="M45">
        <v>5.0000000000000001E-3</v>
      </c>
      <c r="N45" t="s">
        <v>115</v>
      </c>
    </row>
    <row r="46" spans="2:14" hidden="1" x14ac:dyDescent="0.3">
      <c r="B46" t="s">
        <v>209</v>
      </c>
      <c r="C46" t="s">
        <v>208</v>
      </c>
      <c r="D46" t="s">
        <v>196</v>
      </c>
      <c r="E46" t="s">
        <v>217</v>
      </c>
      <c r="F46" t="s">
        <v>190</v>
      </c>
      <c r="G46" t="s">
        <v>190</v>
      </c>
      <c r="H46" t="s">
        <v>190</v>
      </c>
      <c r="J46">
        <v>4.55</v>
      </c>
      <c r="K46">
        <v>3.0000000000000001E-5</v>
      </c>
      <c r="L46">
        <v>5.0000000000000004E-6</v>
      </c>
      <c r="M46">
        <v>4.0000000000000003E-5</v>
      </c>
      <c r="N46" t="s">
        <v>115</v>
      </c>
    </row>
    <row r="47" spans="2:14" hidden="1" x14ac:dyDescent="0.3"/>
    <row r="48" spans="2:14" hidden="1" x14ac:dyDescent="0.3">
      <c r="D48" s="266" t="s">
        <v>199</v>
      </c>
      <c r="E48" s="266"/>
      <c r="F48" s="266"/>
      <c r="G48" s="266" t="s">
        <v>200</v>
      </c>
      <c r="H48" s="266"/>
      <c r="I48" s="266"/>
      <c r="J48" s="266"/>
      <c r="K48" s="266"/>
    </row>
    <row r="49" spans="2:11" hidden="1" x14ac:dyDescent="0.3">
      <c r="B49" t="s">
        <v>181</v>
      </c>
      <c r="C49" t="s">
        <v>182</v>
      </c>
      <c r="D49" t="s">
        <v>198</v>
      </c>
      <c r="E49" t="s">
        <v>185</v>
      </c>
      <c r="F49" t="s">
        <v>48</v>
      </c>
      <c r="G49" t="s">
        <v>47</v>
      </c>
      <c r="H49" t="s">
        <v>50</v>
      </c>
      <c r="J49" t="s">
        <v>186</v>
      </c>
      <c r="K49" t="s">
        <v>187</v>
      </c>
    </row>
    <row r="50" spans="2:11" hidden="1" x14ac:dyDescent="0.3">
      <c r="B50" t="s">
        <v>230</v>
      </c>
      <c r="C50" t="s">
        <v>250</v>
      </c>
      <c r="D50" t="s">
        <v>56</v>
      </c>
      <c r="E50" s="6">
        <f t="shared" ref="E50:J50" si="12">G19*$E$19*$D$19</f>
        <v>2630.88</v>
      </c>
      <c r="F50" s="6">
        <f t="shared" si="12"/>
        <v>1.596672E-2</v>
      </c>
      <c r="G50" s="6">
        <f>J19*$E$19*$D$19</f>
        <v>820.10880000000009</v>
      </c>
      <c r="H50" s="6">
        <f>K19*$E$19*$D$19</f>
        <v>1.161216</v>
      </c>
      <c r="I50" s="6"/>
      <c r="J50" s="6">
        <f t="shared" si="12"/>
        <v>0.10886400000000002</v>
      </c>
      <c r="K50" s="6">
        <f>M19*$E$19*$D$19</f>
        <v>3.5562239999999998</v>
      </c>
    </row>
    <row r="51" spans="2:11" hidden="1" x14ac:dyDescent="0.3">
      <c r="B51" t="s">
        <v>231</v>
      </c>
      <c r="C51" t="s">
        <v>250</v>
      </c>
      <c r="D51" t="s">
        <v>56</v>
      </c>
      <c r="E51" s="26" t="s">
        <v>180</v>
      </c>
      <c r="F51" s="6">
        <f>H20*$E$20*$D$20</f>
        <v>1.227512E-2</v>
      </c>
      <c r="G51" s="6">
        <f t="shared" ref="G51" si="13">J20*$E$19*$D$19</f>
        <v>489.88800000000003</v>
      </c>
      <c r="H51" s="6">
        <f t="shared" ref="H51" si="14">K20*$E$19*$D$19</f>
        <v>1.8144</v>
      </c>
      <c r="I51" s="6"/>
      <c r="J51" s="6">
        <f t="shared" ref="J51" si="15">L20*$E$19*$D$19</f>
        <v>0.29030400000000001</v>
      </c>
      <c r="K51" s="6">
        <f>M20*$E$19*$D$19</f>
        <v>0.94348799999999999</v>
      </c>
    </row>
    <row r="52" spans="2:11" hidden="1" x14ac:dyDescent="0.3">
      <c r="B52" s="51" t="s">
        <v>253</v>
      </c>
      <c r="C52" t="s">
        <v>90</v>
      </c>
      <c r="D52" s="6">
        <f>F23*$E$23*$D$23</f>
        <v>2516.64</v>
      </c>
      <c r="E52" s="6">
        <f t="shared" ref="E52:K52" si="16">G23*$E$23*$D$23</f>
        <v>2477.0927999999999</v>
      </c>
      <c r="F52" s="6">
        <f t="shared" si="16"/>
        <v>1.5818879999999997E-2</v>
      </c>
      <c r="G52" s="6">
        <f>J23*$E$23*$D$23</f>
        <v>794.53919999999994</v>
      </c>
      <c r="H52" s="6">
        <f>K23*$E$23*$D$23</f>
        <v>1.1864159999999999</v>
      </c>
      <c r="I52" s="6"/>
      <c r="J52" s="6">
        <f t="shared" si="16"/>
        <v>0.14380799999999999</v>
      </c>
      <c r="K52" s="6">
        <f t="shared" si="16"/>
        <v>3.3794879999999998</v>
      </c>
    </row>
    <row r="53" spans="2:11" hidden="1" x14ac:dyDescent="0.3">
      <c r="B53" s="51" t="s">
        <v>253</v>
      </c>
      <c r="C53" t="s">
        <v>251</v>
      </c>
      <c r="D53" s="6">
        <f>F24*$E$24*$D$24</f>
        <v>2502.2591999999995</v>
      </c>
      <c r="E53" s="6">
        <f t="shared" ref="E53:E54" si="17">G24*$E$23*$D$23</f>
        <v>2477.0927999999999</v>
      </c>
      <c r="F53" s="6">
        <f t="shared" ref="F53:F54" si="18">H24*$E$23*$D$23</f>
        <v>1.5818879999999997E-2</v>
      </c>
      <c r="G53" s="6">
        <f t="shared" ref="G53:G54" si="19">J24*$E$23*$D$23</f>
        <v>794.53919999999994</v>
      </c>
      <c r="H53" s="6">
        <f t="shared" ref="H53:H54" si="20">K24*$E$23*$D$23</f>
        <v>1.1864159999999999</v>
      </c>
      <c r="I53" s="6"/>
      <c r="J53" s="6">
        <f t="shared" ref="J53:J54" si="21">L24*$E$23*$D$23</f>
        <v>0.14380799999999999</v>
      </c>
      <c r="K53" s="6">
        <f t="shared" ref="K53:K54" si="22">M24*$E$23*$D$23</f>
        <v>3.3794879999999998</v>
      </c>
    </row>
    <row r="54" spans="2:11" hidden="1" x14ac:dyDescent="0.3">
      <c r="B54" s="51" t="s">
        <v>253</v>
      </c>
      <c r="C54" t="s">
        <v>252</v>
      </c>
      <c r="D54" s="6">
        <f>F25*$E$25*$D$25</f>
        <v>2487.8783999999996</v>
      </c>
      <c r="E54" s="6">
        <f t="shared" si="17"/>
        <v>2477.0927999999999</v>
      </c>
      <c r="F54" s="6">
        <f t="shared" si="18"/>
        <v>1.5818879999999997E-2</v>
      </c>
      <c r="G54" s="6">
        <f t="shared" si="19"/>
        <v>794.53919999999994</v>
      </c>
      <c r="H54" s="6">
        <f t="shared" si="20"/>
        <v>1.1864159999999999</v>
      </c>
      <c r="I54" s="6"/>
      <c r="J54" s="6">
        <f t="shared" si="21"/>
        <v>0.14380799999999999</v>
      </c>
      <c r="K54" s="6">
        <f t="shared" si="22"/>
        <v>3.3794879999999998</v>
      </c>
    </row>
    <row r="55" spans="2:11" hidden="1" x14ac:dyDescent="0.3">
      <c r="B55" s="52" t="s">
        <v>254</v>
      </c>
      <c r="C55" s="53" t="s">
        <v>255</v>
      </c>
    </row>
    <row r="56" spans="2:11" hidden="1" x14ac:dyDescent="0.3">
      <c r="B56" s="52" t="s">
        <v>254</v>
      </c>
      <c r="C56" s="53" t="s">
        <v>256</v>
      </c>
    </row>
    <row r="57" spans="2:11" hidden="1" x14ac:dyDescent="0.3">
      <c r="B57" s="51" t="s">
        <v>210</v>
      </c>
      <c r="C57" t="s">
        <v>250</v>
      </c>
      <c r="D57" t="s">
        <v>180</v>
      </c>
      <c r="E57">
        <f>G28*$E28*$D28</f>
        <v>2354.25</v>
      </c>
      <c r="F57">
        <f t="shared" ref="F57:J57" si="23">H28*$E28*$D28</f>
        <v>1.4512499999999999E-2</v>
      </c>
      <c r="G57">
        <f>J28*$E28*$D28</f>
        <v>654.67499999999995</v>
      </c>
      <c r="H57">
        <f>K28*$E28*$D28</f>
        <v>1.3222500000000001</v>
      </c>
      <c r="J57">
        <f t="shared" si="23"/>
        <v>0.129</v>
      </c>
      <c r="K57">
        <f>M28*$E28*$D28</f>
        <v>4.0635000000000003</v>
      </c>
    </row>
    <row r="58" spans="2:11" hidden="1" x14ac:dyDescent="0.3">
      <c r="B58" s="51" t="s">
        <v>257</v>
      </c>
      <c r="C58" t="s">
        <v>229</v>
      </c>
      <c r="D58">
        <f>F32*$E32*$D32</f>
        <v>1628.1000000000001</v>
      </c>
      <c r="E58">
        <f t="shared" ref="E58:K58" si="24">G32*$E32*$D32</f>
        <v>1608.8040000000001</v>
      </c>
      <c r="F58">
        <f t="shared" si="24"/>
        <v>4.824000000000001E-3</v>
      </c>
      <c r="G58">
        <f>J32*$E32*$D32</f>
        <v>166.428</v>
      </c>
      <c r="H58">
        <f>K32*$E32*$D32</f>
        <v>1.0853999999999999</v>
      </c>
      <c r="J58">
        <f t="shared" si="24"/>
        <v>7.2360000000000008E-2</v>
      </c>
      <c r="K58">
        <f t="shared" si="24"/>
        <v>0.94067999999999996</v>
      </c>
    </row>
    <row r="59" spans="2:11" hidden="1" x14ac:dyDescent="0.3">
      <c r="B59" s="51" t="s">
        <v>258</v>
      </c>
      <c r="C59" t="s">
        <v>229</v>
      </c>
      <c r="D59">
        <f>F33*$E33*$D33</f>
        <v>37.994000000000007</v>
      </c>
      <c r="E59" t="s">
        <v>180</v>
      </c>
      <c r="F59">
        <f t="shared" ref="F59:F64" si="25">H33*$E33*$D33</f>
        <v>7.9442000000000002E-3</v>
      </c>
      <c r="G59">
        <f t="shared" ref="G59:G64" si="26">J33*$E33*$D33</f>
        <v>324.67600000000004</v>
      </c>
      <c r="H59">
        <f t="shared" ref="H59:H64" si="27">K33*$E33*$D33</f>
        <v>1.7270000000000003</v>
      </c>
      <c r="J59">
        <f t="shared" ref="J59:J64" si="28">L33*$E33*$D33</f>
        <v>0.27632000000000001</v>
      </c>
      <c r="K59">
        <f t="shared" ref="K59:K64" si="29">M33*$E33*$D33</f>
        <v>0.89803999999999995</v>
      </c>
    </row>
    <row r="60" spans="2:11" hidden="1" x14ac:dyDescent="0.3">
      <c r="B60" s="51" t="s">
        <v>215</v>
      </c>
      <c r="C60" t="s">
        <v>251</v>
      </c>
      <c r="D60">
        <f t="shared" ref="D60:D64" si="30">F34*$E34*$D34</f>
        <v>24.177999999999997</v>
      </c>
      <c r="E60" t="s">
        <v>180</v>
      </c>
      <c r="F60">
        <f t="shared" si="25"/>
        <v>7.9442000000000002E-3</v>
      </c>
      <c r="G60">
        <f t="shared" si="26"/>
        <v>324.67600000000004</v>
      </c>
      <c r="H60">
        <f t="shared" si="27"/>
        <v>1.7270000000000003</v>
      </c>
      <c r="J60">
        <f t="shared" si="28"/>
        <v>0.27632000000000001</v>
      </c>
      <c r="K60">
        <f t="shared" si="29"/>
        <v>0.89803999999999995</v>
      </c>
    </row>
    <row r="61" spans="2:11" hidden="1" x14ac:dyDescent="0.3">
      <c r="B61" s="51" t="s">
        <v>214</v>
      </c>
      <c r="C61" t="s">
        <v>90</v>
      </c>
      <c r="D61">
        <f t="shared" si="30"/>
        <v>381.39460000000003</v>
      </c>
      <c r="E61">
        <f t="shared" ref="E61:E64" si="31">G35*$E35*$D35</f>
        <v>358.54900000000004</v>
      </c>
      <c r="F61">
        <f t="shared" si="25"/>
        <v>1.2692000000000001E-3</v>
      </c>
      <c r="G61">
        <f t="shared" si="26"/>
        <v>58.383199999999995</v>
      </c>
      <c r="H61">
        <f t="shared" si="27"/>
        <v>3.8076000000000006E-2</v>
      </c>
      <c r="J61">
        <f t="shared" si="28"/>
        <v>6.3460000000000003E-4</v>
      </c>
      <c r="K61">
        <f t="shared" si="29"/>
        <v>1.9038E-3</v>
      </c>
    </row>
    <row r="62" spans="2:11" hidden="1" x14ac:dyDescent="0.3">
      <c r="B62" s="51" t="s">
        <v>216</v>
      </c>
      <c r="C62" t="s">
        <v>90</v>
      </c>
      <c r="D62">
        <f t="shared" si="30"/>
        <v>22.845600000000005</v>
      </c>
      <c r="E62" t="s">
        <v>180</v>
      </c>
      <c r="F62">
        <f t="shared" si="25"/>
        <v>1.2692000000000001E-3</v>
      </c>
      <c r="G62">
        <f t="shared" si="26"/>
        <v>152.304</v>
      </c>
      <c r="H62">
        <f t="shared" si="27"/>
        <v>0.101536</v>
      </c>
      <c r="J62">
        <f t="shared" si="28"/>
        <v>6.3460000000000001E-3</v>
      </c>
      <c r="K62">
        <f t="shared" si="29"/>
        <v>3.8076000000000006E-2</v>
      </c>
    </row>
    <row r="63" spans="2:11" hidden="1" x14ac:dyDescent="0.3">
      <c r="B63" s="51" t="s">
        <v>222</v>
      </c>
      <c r="C63" t="s">
        <v>90</v>
      </c>
      <c r="D63">
        <f t="shared" si="30"/>
        <v>1325.2050000000002</v>
      </c>
      <c r="E63">
        <f t="shared" si="31"/>
        <v>1245.825</v>
      </c>
      <c r="F63">
        <f t="shared" si="25"/>
        <v>4.4099999999999999E-3</v>
      </c>
      <c r="G63">
        <f t="shared" si="26"/>
        <v>317.52000000000004</v>
      </c>
      <c r="H63">
        <f t="shared" si="27"/>
        <v>0.59535000000000005</v>
      </c>
      <c r="J63">
        <f t="shared" si="28"/>
        <v>2.205E-2</v>
      </c>
      <c r="K63">
        <f t="shared" si="29"/>
        <v>8.8199999999999997E-3</v>
      </c>
    </row>
    <row r="64" spans="2:11" hidden="1" x14ac:dyDescent="0.3">
      <c r="B64" s="51" t="s">
        <v>222</v>
      </c>
      <c r="C64" t="s">
        <v>251</v>
      </c>
      <c r="D64">
        <f t="shared" si="30"/>
        <v>1620.675</v>
      </c>
      <c r="E64">
        <f t="shared" si="31"/>
        <v>1245.825</v>
      </c>
      <c r="F64">
        <f t="shared" si="25"/>
        <v>4.4099999999999999E-3</v>
      </c>
      <c r="G64">
        <f t="shared" si="26"/>
        <v>317.52000000000004</v>
      </c>
      <c r="H64">
        <f t="shared" si="27"/>
        <v>0.59535000000000005</v>
      </c>
      <c r="J64">
        <f t="shared" si="28"/>
        <v>2.205E-2</v>
      </c>
      <c r="K64">
        <f t="shared" si="29"/>
        <v>8.8199999999999997E-3</v>
      </c>
    </row>
    <row r="65" spans="1:11" hidden="1" x14ac:dyDescent="0.3">
      <c r="B65" s="51" t="s">
        <v>223</v>
      </c>
      <c r="C65" t="s">
        <v>90</v>
      </c>
      <c r="D65">
        <f t="shared" ref="D65:K66" si="32">F41*$E41*$D41</f>
        <v>2471.04</v>
      </c>
      <c r="E65">
        <f t="shared" si="32"/>
        <v>2433.2880000000005</v>
      </c>
      <c r="F65">
        <f t="shared" si="32"/>
        <v>6.8640000000000003E-3</v>
      </c>
      <c r="G65">
        <f>J41*$E41*$D41</f>
        <v>803.08799999999997</v>
      </c>
      <c r="H65">
        <f>K41*$E41*$D41</f>
        <v>1.23552</v>
      </c>
      <c r="J65">
        <f t="shared" si="32"/>
        <v>0.13727999999999999</v>
      </c>
      <c r="K65">
        <f t="shared" si="32"/>
        <v>3.8095200000000005</v>
      </c>
    </row>
    <row r="66" spans="1:11" hidden="1" x14ac:dyDescent="0.3">
      <c r="B66" s="51" t="s">
        <v>223</v>
      </c>
      <c r="C66" t="s">
        <v>251</v>
      </c>
      <c r="D66">
        <f t="shared" si="32"/>
        <v>2457.3119999999999</v>
      </c>
      <c r="E66">
        <f t="shared" si="32"/>
        <v>2433.2880000000005</v>
      </c>
      <c r="F66">
        <f t="shared" si="32"/>
        <v>6.8640000000000003E-3</v>
      </c>
      <c r="G66">
        <f>J42*$E42*$D42</f>
        <v>803.08799999999997</v>
      </c>
      <c r="H66">
        <f>K42*$E42*$D42</f>
        <v>1.23552</v>
      </c>
      <c r="J66">
        <f t="shared" si="32"/>
        <v>0.13727999999999999</v>
      </c>
      <c r="K66">
        <f t="shared" si="32"/>
        <v>3.8095200000000005</v>
      </c>
    </row>
    <row r="67" spans="1:11" hidden="1" x14ac:dyDescent="0.3">
      <c r="B67" s="53" t="s">
        <v>248</v>
      </c>
      <c r="C67" s="53" t="s">
        <v>250</v>
      </c>
    </row>
    <row r="68" spans="1:11" hidden="1" x14ac:dyDescent="0.3">
      <c r="B68" s="53" t="s">
        <v>249</v>
      </c>
      <c r="C68" s="53" t="s">
        <v>250</v>
      </c>
    </row>
    <row r="69" spans="1:11" hidden="1" x14ac:dyDescent="0.3">
      <c r="B69" s="53" t="s">
        <v>207</v>
      </c>
      <c r="C69" s="53" t="s">
        <v>250</v>
      </c>
    </row>
    <row r="70" spans="1:11" hidden="1" x14ac:dyDescent="0.3">
      <c r="B70" s="53" t="s">
        <v>209</v>
      </c>
      <c r="C70" s="53" t="s">
        <v>250</v>
      </c>
    </row>
    <row r="71" spans="1:11" hidden="1" x14ac:dyDescent="0.3"/>
    <row r="72" spans="1:11" ht="25.8" x14ac:dyDescent="0.5">
      <c r="A72" s="57" t="s">
        <v>225</v>
      </c>
      <c r="B72" s="57" t="s">
        <v>321</v>
      </c>
      <c r="C72" s="226" t="s">
        <v>224</v>
      </c>
      <c r="D72" s="226" t="s">
        <v>226</v>
      </c>
      <c r="E72" s="56" t="s">
        <v>47</v>
      </c>
      <c r="F72" s="56" t="s">
        <v>48</v>
      </c>
      <c r="G72" s="56" t="s">
        <v>49</v>
      </c>
      <c r="H72" s="56" t="s">
        <v>50</v>
      </c>
      <c r="I72" s="56" t="s">
        <v>308</v>
      </c>
      <c r="J72" s="56" t="s">
        <v>270</v>
      </c>
    </row>
    <row r="73" spans="1:11" hidden="1" x14ac:dyDescent="0.3">
      <c r="A73" s="58" t="s">
        <v>327</v>
      </c>
      <c r="B73" s="58" t="s">
        <v>9</v>
      </c>
      <c r="C73" s="28" t="s">
        <v>227</v>
      </c>
      <c r="D73" s="28" t="s">
        <v>34</v>
      </c>
      <c r="E73">
        <f>2.2055*1000</f>
        <v>2205.5</v>
      </c>
      <c r="F73" t="s">
        <v>180</v>
      </c>
      <c r="G73" t="s">
        <v>180</v>
      </c>
      <c r="H73" t="s">
        <v>180</v>
      </c>
      <c r="I73" t="s">
        <v>108</v>
      </c>
      <c r="J73" t="s">
        <v>167</v>
      </c>
    </row>
    <row r="74" spans="1:11" hidden="1" x14ac:dyDescent="0.3">
      <c r="A74" s="58" t="s">
        <v>327</v>
      </c>
      <c r="B74" s="58" t="s">
        <v>9</v>
      </c>
      <c r="C74" s="28" t="s">
        <v>227</v>
      </c>
      <c r="D74" s="28" t="s">
        <v>35</v>
      </c>
      <c r="E74">
        <f>0.4935*1000</f>
        <v>493.5</v>
      </c>
      <c r="F74" t="s">
        <v>180</v>
      </c>
      <c r="G74" t="s">
        <v>180</v>
      </c>
      <c r="H74" t="s">
        <v>180</v>
      </c>
      <c r="I74" t="s">
        <v>108</v>
      </c>
      <c r="J74" t="s">
        <v>167</v>
      </c>
    </row>
    <row r="75" spans="1:11" hidden="1" x14ac:dyDescent="0.3">
      <c r="A75" s="58" t="s">
        <v>327</v>
      </c>
      <c r="B75" s="58" t="s">
        <v>52</v>
      </c>
      <c r="C75" s="28" t="s">
        <v>227</v>
      </c>
      <c r="D75" s="28" t="s">
        <v>34</v>
      </c>
      <c r="E75">
        <f>2.2055*1000</f>
        <v>2205.5</v>
      </c>
      <c r="F75" t="s">
        <v>180</v>
      </c>
      <c r="G75" t="s">
        <v>180</v>
      </c>
      <c r="H75" t="s">
        <v>180</v>
      </c>
      <c r="I75" t="s">
        <v>108</v>
      </c>
      <c r="J75" t="s">
        <v>167</v>
      </c>
    </row>
    <row r="76" spans="1:11" hidden="1" x14ac:dyDescent="0.3">
      <c r="A76" s="58" t="s">
        <v>327</v>
      </c>
      <c r="B76" s="58" t="s">
        <v>52</v>
      </c>
      <c r="C76" s="28" t="s">
        <v>227</v>
      </c>
      <c r="D76" s="28" t="s">
        <v>35</v>
      </c>
      <c r="E76">
        <f>0.4935*1000</f>
        <v>493.5</v>
      </c>
      <c r="F76" t="s">
        <v>180</v>
      </c>
      <c r="G76" t="s">
        <v>180</v>
      </c>
      <c r="H76" t="s">
        <v>180</v>
      </c>
      <c r="I76" t="s">
        <v>108</v>
      </c>
      <c r="J76" t="s">
        <v>167</v>
      </c>
    </row>
    <row r="77" spans="1:11" hidden="1" x14ac:dyDescent="0.3">
      <c r="A77" s="58" t="s">
        <v>333</v>
      </c>
      <c r="B77" s="58" t="s">
        <v>9</v>
      </c>
      <c r="C77" s="28" t="s">
        <v>227</v>
      </c>
      <c r="D77" s="28" t="s">
        <v>34</v>
      </c>
      <c r="E77">
        <v>0</v>
      </c>
      <c r="F77" t="s">
        <v>180</v>
      </c>
      <c r="G77" t="s">
        <v>180</v>
      </c>
      <c r="H77" t="s">
        <v>180</v>
      </c>
      <c r="I77" t="s">
        <v>108</v>
      </c>
      <c r="J77" t="s">
        <v>167</v>
      </c>
    </row>
    <row r="78" spans="1:11" hidden="1" x14ac:dyDescent="0.3">
      <c r="A78" s="58" t="s">
        <v>333</v>
      </c>
      <c r="B78" s="58" t="s">
        <v>9</v>
      </c>
      <c r="C78" s="28" t="s">
        <v>227</v>
      </c>
      <c r="D78" s="28" t="s">
        <v>35</v>
      </c>
      <c r="E78">
        <f>0.8479*1000</f>
        <v>847.9</v>
      </c>
      <c r="F78" t="s">
        <v>180</v>
      </c>
      <c r="G78" t="s">
        <v>180</v>
      </c>
      <c r="H78" t="s">
        <v>180</v>
      </c>
      <c r="I78" t="s">
        <v>108</v>
      </c>
      <c r="J78" t="s">
        <v>167</v>
      </c>
    </row>
    <row r="79" spans="1:11" hidden="1" x14ac:dyDescent="0.3">
      <c r="A79" s="58" t="s">
        <v>333</v>
      </c>
      <c r="B79" s="58" t="s">
        <v>52</v>
      </c>
      <c r="C79" s="28" t="s">
        <v>227</v>
      </c>
      <c r="D79" s="28" t="s">
        <v>34</v>
      </c>
      <c r="E79">
        <v>0</v>
      </c>
      <c r="F79" t="s">
        <v>180</v>
      </c>
      <c r="G79" t="s">
        <v>180</v>
      </c>
      <c r="H79" t="s">
        <v>180</v>
      </c>
      <c r="I79" t="s">
        <v>108</v>
      </c>
      <c r="J79" t="s">
        <v>167</v>
      </c>
    </row>
    <row r="80" spans="1:11" hidden="1" x14ac:dyDescent="0.3">
      <c r="A80" s="58" t="s">
        <v>333</v>
      </c>
      <c r="B80" s="58" t="s">
        <v>52</v>
      </c>
      <c r="C80" s="28" t="s">
        <v>227</v>
      </c>
      <c r="D80" s="28" t="s">
        <v>35</v>
      </c>
      <c r="E80">
        <f>0.8479*1000</f>
        <v>847.9</v>
      </c>
      <c r="F80" t="s">
        <v>180</v>
      </c>
      <c r="G80" t="s">
        <v>180</v>
      </c>
      <c r="H80" t="s">
        <v>180</v>
      </c>
      <c r="I80" t="s">
        <v>108</v>
      </c>
      <c r="J80" t="s">
        <v>167</v>
      </c>
    </row>
    <row r="81" spans="1:10" x14ac:dyDescent="0.3">
      <c r="A81" s="59" t="s">
        <v>328</v>
      </c>
      <c r="B81" s="58" t="s">
        <v>9</v>
      </c>
      <c r="C81" t="s">
        <v>227</v>
      </c>
      <c r="D81" t="s">
        <v>34</v>
      </c>
      <c r="E81">
        <v>2516.64</v>
      </c>
      <c r="F81">
        <v>1.5818879999999997E-2</v>
      </c>
      <c r="G81" t="s">
        <v>180</v>
      </c>
      <c r="H81" t="s">
        <v>180</v>
      </c>
      <c r="I81" t="s">
        <v>108</v>
      </c>
      <c r="J81" t="s">
        <v>65</v>
      </c>
    </row>
    <row r="82" spans="1:10" x14ac:dyDescent="0.3">
      <c r="A82" s="59" t="s">
        <v>328</v>
      </c>
      <c r="B82" s="58" t="s">
        <v>9</v>
      </c>
      <c r="C82" t="s">
        <v>227</v>
      </c>
      <c r="D82" t="s">
        <v>35</v>
      </c>
      <c r="E82">
        <v>794.53919999999994</v>
      </c>
      <c r="F82">
        <v>3.3794879999999998</v>
      </c>
      <c r="G82">
        <v>0.14380799999999999</v>
      </c>
      <c r="H82">
        <v>1.1864159999999999</v>
      </c>
      <c r="I82" t="s">
        <v>108</v>
      </c>
      <c r="J82" t="s">
        <v>65</v>
      </c>
    </row>
    <row r="83" spans="1:10" x14ac:dyDescent="0.3">
      <c r="A83" s="59" t="s">
        <v>328</v>
      </c>
      <c r="B83" s="58" t="s">
        <v>106</v>
      </c>
      <c r="C83" t="s">
        <v>227</v>
      </c>
      <c r="D83" t="s">
        <v>34</v>
      </c>
      <c r="E83">
        <v>2487.8783999999996</v>
      </c>
      <c r="F83">
        <v>1.5818879999999997E-2</v>
      </c>
      <c r="G83" t="s">
        <v>180</v>
      </c>
      <c r="H83" t="s">
        <v>180</v>
      </c>
      <c r="I83" t="s">
        <v>108</v>
      </c>
      <c r="J83" t="s">
        <v>65</v>
      </c>
    </row>
    <row r="84" spans="1:10" x14ac:dyDescent="0.3">
      <c r="A84" s="59" t="s">
        <v>328</v>
      </c>
      <c r="B84" s="58" t="s">
        <v>106</v>
      </c>
      <c r="C84" t="s">
        <v>227</v>
      </c>
      <c r="D84" t="s">
        <v>35</v>
      </c>
      <c r="E84">
        <v>794.53919999999994</v>
      </c>
      <c r="F84">
        <v>3.3794879999999998</v>
      </c>
      <c r="G84">
        <v>0.14380799999999999</v>
      </c>
      <c r="H84">
        <v>1.1864159999999999</v>
      </c>
      <c r="I84" t="s">
        <v>108</v>
      </c>
      <c r="J84" t="s">
        <v>65</v>
      </c>
    </row>
    <row r="85" spans="1:10" x14ac:dyDescent="0.3">
      <c r="A85" s="59" t="s">
        <v>328</v>
      </c>
      <c r="B85" s="58" t="s">
        <v>52</v>
      </c>
      <c r="C85" t="s">
        <v>227</v>
      </c>
      <c r="D85" t="s">
        <v>34</v>
      </c>
      <c r="E85">
        <v>2502.2591999999995</v>
      </c>
      <c r="F85">
        <v>1.5818879999999997E-2</v>
      </c>
      <c r="G85" t="s">
        <v>180</v>
      </c>
      <c r="H85" t="s">
        <v>180</v>
      </c>
      <c r="I85" t="s">
        <v>108</v>
      </c>
      <c r="J85" t="s">
        <v>65</v>
      </c>
    </row>
    <row r="86" spans="1:10" x14ac:dyDescent="0.3">
      <c r="A86" s="59" t="s">
        <v>328</v>
      </c>
      <c r="B86" s="58" t="s">
        <v>52</v>
      </c>
      <c r="C86" t="s">
        <v>227</v>
      </c>
      <c r="D86" t="s">
        <v>35</v>
      </c>
      <c r="E86">
        <v>794.53919999999994</v>
      </c>
      <c r="F86">
        <v>3.3794879999999998</v>
      </c>
      <c r="G86">
        <v>0.14380799999999999</v>
      </c>
      <c r="H86">
        <v>1.1864159999999999</v>
      </c>
      <c r="I86" t="s">
        <v>108</v>
      </c>
      <c r="J86" t="s">
        <v>65</v>
      </c>
    </row>
    <row r="87" spans="1:10" hidden="1" x14ac:dyDescent="0.3">
      <c r="A87" s="58" t="s">
        <v>332</v>
      </c>
      <c r="B87" s="58" t="s">
        <v>9</v>
      </c>
      <c r="C87" s="28" t="s">
        <v>227</v>
      </c>
      <c r="D87" s="28" t="s">
        <v>34</v>
      </c>
      <c r="E87" s="28">
        <v>0</v>
      </c>
      <c r="F87" s="28">
        <v>0.01</v>
      </c>
      <c r="G87" s="28" t="s">
        <v>180</v>
      </c>
      <c r="H87" s="28" t="s">
        <v>180</v>
      </c>
      <c r="I87" t="s">
        <v>108</v>
      </c>
      <c r="J87" s="28" t="s">
        <v>167</v>
      </c>
    </row>
    <row r="88" spans="1:10" hidden="1" x14ac:dyDescent="0.3">
      <c r="A88" s="58" t="s">
        <v>332</v>
      </c>
      <c r="B88" s="58" t="s">
        <v>9</v>
      </c>
      <c r="C88" s="28" t="s">
        <v>227</v>
      </c>
      <c r="D88" s="28" t="s">
        <v>35</v>
      </c>
      <c r="E88" s="28">
        <f>1.0113*1000</f>
        <v>1011.3000000000001</v>
      </c>
      <c r="F88" s="28" t="s">
        <v>180</v>
      </c>
      <c r="G88" s="28" t="s">
        <v>180</v>
      </c>
      <c r="H88" s="28" t="s">
        <v>180</v>
      </c>
      <c r="I88" t="s">
        <v>108</v>
      </c>
      <c r="J88" s="28" t="s">
        <v>167</v>
      </c>
    </row>
    <row r="89" spans="1:10" hidden="1" x14ac:dyDescent="0.3">
      <c r="A89" s="58" t="s">
        <v>332</v>
      </c>
      <c r="B89" s="58" t="s">
        <v>52</v>
      </c>
      <c r="C89" s="28" t="s">
        <v>227</v>
      </c>
      <c r="D89" s="28" t="s">
        <v>34</v>
      </c>
      <c r="E89" s="28">
        <v>0</v>
      </c>
      <c r="F89" s="28">
        <v>0.01</v>
      </c>
      <c r="G89" s="28" t="s">
        <v>180</v>
      </c>
      <c r="H89" s="28" t="s">
        <v>180</v>
      </c>
      <c r="I89" t="s">
        <v>108</v>
      </c>
      <c r="J89" s="28" t="s">
        <v>167</v>
      </c>
    </row>
    <row r="90" spans="1:10" hidden="1" x14ac:dyDescent="0.3">
      <c r="A90" s="58" t="s">
        <v>332</v>
      </c>
      <c r="B90" s="58" t="s">
        <v>52</v>
      </c>
      <c r="C90" s="28" t="s">
        <v>227</v>
      </c>
      <c r="D90" s="28" t="s">
        <v>35</v>
      </c>
      <c r="E90" s="28">
        <f>1.0113*1000</f>
        <v>1011.3000000000001</v>
      </c>
      <c r="F90" s="28" t="s">
        <v>180</v>
      </c>
      <c r="G90" s="28" t="s">
        <v>180</v>
      </c>
      <c r="H90" s="28" t="s">
        <v>180</v>
      </c>
      <c r="I90" t="s">
        <v>108</v>
      </c>
      <c r="J90" s="28" t="s">
        <v>167</v>
      </c>
    </row>
    <row r="91" spans="1:10" hidden="1" x14ac:dyDescent="0.3">
      <c r="A91" s="58" t="s">
        <v>332</v>
      </c>
      <c r="B91" s="58" t="s">
        <v>106</v>
      </c>
      <c r="C91" s="28" t="s">
        <v>227</v>
      </c>
      <c r="D91" s="28" t="s">
        <v>34</v>
      </c>
      <c r="E91" s="28">
        <v>0</v>
      </c>
      <c r="F91" s="28">
        <v>0.01</v>
      </c>
      <c r="G91" s="28" t="s">
        <v>180</v>
      </c>
      <c r="H91" s="28" t="s">
        <v>180</v>
      </c>
      <c r="I91" t="s">
        <v>108</v>
      </c>
      <c r="J91" s="28" t="s">
        <v>167</v>
      </c>
    </row>
    <row r="92" spans="1:10" hidden="1" x14ac:dyDescent="0.3">
      <c r="A92" s="58" t="s">
        <v>332</v>
      </c>
      <c r="B92" s="58" t="s">
        <v>106</v>
      </c>
      <c r="C92" s="28" t="s">
        <v>227</v>
      </c>
      <c r="D92" s="28" t="s">
        <v>35</v>
      </c>
      <c r="E92" s="28">
        <f>1.0113*1000</f>
        <v>1011.3000000000001</v>
      </c>
      <c r="F92" s="28" t="s">
        <v>180</v>
      </c>
      <c r="G92" s="28" t="s">
        <v>180</v>
      </c>
      <c r="H92" s="28" t="s">
        <v>180</v>
      </c>
      <c r="I92" t="s">
        <v>108</v>
      </c>
      <c r="J92" s="28" t="s">
        <v>167</v>
      </c>
    </row>
    <row r="93" spans="1:10" x14ac:dyDescent="0.3">
      <c r="A93" s="58" t="s">
        <v>331</v>
      </c>
      <c r="B93" s="58" t="s">
        <v>9</v>
      </c>
      <c r="C93" s="28" t="s">
        <v>227</v>
      </c>
      <c r="D93" s="28" t="s">
        <v>34</v>
      </c>
      <c r="E93" s="28">
        <v>1628.1000000000001</v>
      </c>
      <c r="F93" s="28">
        <v>4.824000000000001E-3</v>
      </c>
      <c r="G93" s="28" t="s">
        <v>180</v>
      </c>
      <c r="H93" s="28" t="s">
        <v>180</v>
      </c>
      <c r="I93" t="s">
        <v>108</v>
      </c>
      <c r="J93" s="28" t="s">
        <v>65</v>
      </c>
    </row>
    <row r="94" spans="1:10" x14ac:dyDescent="0.3">
      <c r="A94" s="58" t="s">
        <v>331</v>
      </c>
      <c r="B94" s="58" t="s">
        <v>9</v>
      </c>
      <c r="C94" s="28" t="s">
        <v>227</v>
      </c>
      <c r="D94" t="s">
        <v>35</v>
      </c>
      <c r="E94" s="28">
        <v>166.428</v>
      </c>
      <c r="F94" s="28">
        <v>0.94067999999999996</v>
      </c>
      <c r="G94" s="28">
        <v>7.2360000000000008E-2</v>
      </c>
      <c r="H94" s="28">
        <v>1.0853999999999999</v>
      </c>
      <c r="I94" t="s">
        <v>108</v>
      </c>
      <c r="J94" t="s">
        <v>65</v>
      </c>
    </row>
    <row r="95" spans="1:10" x14ac:dyDescent="0.3">
      <c r="A95" s="58" t="s">
        <v>338</v>
      </c>
      <c r="B95" s="58" t="s">
        <v>9</v>
      </c>
      <c r="C95" s="28" t="s">
        <v>227</v>
      </c>
      <c r="D95" t="s">
        <v>34</v>
      </c>
      <c r="E95" s="28">
        <v>37.994000000000007</v>
      </c>
      <c r="F95" s="28">
        <v>7.9442000000000002E-3</v>
      </c>
      <c r="G95" s="28" t="s">
        <v>180</v>
      </c>
      <c r="H95" s="28" t="s">
        <v>180</v>
      </c>
      <c r="I95" t="s">
        <v>108</v>
      </c>
      <c r="J95" t="s">
        <v>65</v>
      </c>
    </row>
    <row r="96" spans="1:10" x14ac:dyDescent="0.3">
      <c r="A96" s="58" t="s">
        <v>338</v>
      </c>
      <c r="B96" s="58" t="s">
        <v>9</v>
      </c>
      <c r="C96" s="28" t="s">
        <v>227</v>
      </c>
      <c r="D96" t="s">
        <v>35</v>
      </c>
      <c r="E96" s="28">
        <v>324.67600000000004</v>
      </c>
      <c r="F96" s="28">
        <v>0.89803999999999995</v>
      </c>
      <c r="G96" s="28">
        <v>0.27632000000000001</v>
      </c>
      <c r="H96" s="28">
        <v>1.7270000000000003</v>
      </c>
      <c r="I96" t="s">
        <v>108</v>
      </c>
      <c r="J96" t="s">
        <v>65</v>
      </c>
    </row>
    <row r="97" spans="1:10" x14ac:dyDescent="0.3">
      <c r="A97" s="58" t="s">
        <v>338</v>
      </c>
      <c r="B97" s="58" t="s">
        <v>52</v>
      </c>
      <c r="C97" s="28" t="s">
        <v>227</v>
      </c>
      <c r="D97" t="s">
        <v>34</v>
      </c>
      <c r="E97" s="28">
        <v>24.178000000000001</v>
      </c>
      <c r="F97" s="28">
        <v>7.9442000000000002E-3</v>
      </c>
      <c r="G97" s="28" t="s">
        <v>180</v>
      </c>
      <c r="H97" s="28" t="s">
        <v>180</v>
      </c>
      <c r="I97" t="s">
        <v>108</v>
      </c>
      <c r="J97" t="s">
        <v>65</v>
      </c>
    </row>
    <row r="98" spans="1:10" x14ac:dyDescent="0.3">
      <c r="A98" s="58" t="s">
        <v>338</v>
      </c>
      <c r="B98" s="58" t="s">
        <v>52</v>
      </c>
      <c r="C98" s="28" t="s">
        <v>227</v>
      </c>
      <c r="D98" t="s">
        <v>35</v>
      </c>
      <c r="E98" s="28">
        <v>324.67600000000004</v>
      </c>
      <c r="F98" s="28">
        <v>0.89803999999999995</v>
      </c>
      <c r="G98" s="28">
        <v>0.27632000000000001</v>
      </c>
      <c r="H98" s="28">
        <v>1.7270000000000003</v>
      </c>
      <c r="I98" t="s">
        <v>108</v>
      </c>
      <c r="J98" t="s">
        <v>65</v>
      </c>
    </row>
    <row r="99" spans="1:10" x14ac:dyDescent="0.3">
      <c r="A99" s="58" t="s">
        <v>330</v>
      </c>
      <c r="B99" s="58" t="s">
        <v>9</v>
      </c>
      <c r="C99" s="28" t="s">
        <v>227</v>
      </c>
      <c r="D99" t="s">
        <v>34</v>
      </c>
      <c r="E99" s="28">
        <v>381.39460000000003</v>
      </c>
      <c r="F99" s="28">
        <v>1.2692000000000001E-3</v>
      </c>
      <c r="G99" s="28" t="s">
        <v>180</v>
      </c>
      <c r="H99" s="28" t="s">
        <v>180</v>
      </c>
      <c r="I99" t="s">
        <v>108</v>
      </c>
      <c r="J99" t="s">
        <v>65</v>
      </c>
    </row>
    <row r="100" spans="1:10" x14ac:dyDescent="0.3">
      <c r="A100" s="58" t="s">
        <v>330</v>
      </c>
      <c r="B100" s="58" t="s">
        <v>9</v>
      </c>
      <c r="C100" s="28" t="s">
        <v>227</v>
      </c>
      <c r="D100" t="s">
        <v>35</v>
      </c>
      <c r="E100" s="28">
        <v>58.383199999999995</v>
      </c>
      <c r="F100" s="28">
        <v>1.9038E-3</v>
      </c>
      <c r="G100" s="28">
        <v>6.3460000000000003E-4</v>
      </c>
      <c r="H100" s="28">
        <v>3.8076000000000006E-2</v>
      </c>
      <c r="I100" t="s">
        <v>108</v>
      </c>
      <c r="J100" t="s">
        <v>65</v>
      </c>
    </row>
    <row r="101" spans="1:10" x14ac:dyDescent="0.3">
      <c r="A101" s="58" t="s">
        <v>341</v>
      </c>
      <c r="B101" s="58" t="s">
        <v>9</v>
      </c>
      <c r="C101" s="28" t="s">
        <v>227</v>
      </c>
      <c r="D101" t="s">
        <v>34</v>
      </c>
      <c r="E101" s="28">
        <v>22.845600000000005</v>
      </c>
      <c r="F101" s="28">
        <v>1.2692000000000001E-3</v>
      </c>
      <c r="G101" s="28" t="s">
        <v>180</v>
      </c>
      <c r="H101" s="28" t="s">
        <v>180</v>
      </c>
      <c r="I101" t="s">
        <v>108</v>
      </c>
      <c r="J101" t="s">
        <v>65</v>
      </c>
    </row>
    <row r="102" spans="1:10" x14ac:dyDescent="0.3">
      <c r="A102" s="58" t="s">
        <v>341</v>
      </c>
      <c r="B102" s="58" t="s">
        <v>9</v>
      </c>
      <c r="C102" s="28" t="s">
        <v>227</v>
      </c>
      <c r="D102" t="s">
        <v>35</v>
      </c>
      <c r="E102" s="28">
        <v>152.304</v>
      </c>
      <c r="F102" s="28">
        <v>3.8076000000000006E-2</v>
      </c>
      <c r="G102" s="28">
        <v>6.3460000000000001E-3</v>
      </c>
      <c r="H102" s="28">
        <v>0.101536</v>
      </c>
      <c r="I102" t="s">
        <v>108</v>
      </c>
      <c r="J102" t="s">
        <v>65</v>
      </c>
    </row>
    <row r="103" spans="1:10" x14ac:dyDescent="0.3">
      <c r="A103" s="58" t="s">
        <v>329</v>
      </c>
      <c r="B103" s="58" t="s">
        <v>9</v>
      </c>
      <c r="C103" s="28" t="s">
        <v>227</v>
      </c>
      <c r="D103" t="s">
        <v>34</v>
      </c>
      <c r="E103" s="54">
        <v>1325.2050000000002</v>
      </c>
      <c r="F103" s="28">
        <v>4.4099999999999999E-3</v>
      </c>
      <c r="G103" s="28" t="s">
        <v>180</v>
      </c>
      <c r="H103" s="28" t="s">
        <v>180</v>
      </c>
      <c r="I103" t="s">
        <v>108</v>
      </c>
      <c r="J103" t="s">
        <v>65</v>
      </c>
    </row>
    <row r="104" spans="1:10" x14ac:dyDescent="0.3">
      <c r="A104" s="58" t="s">
        <v>329</v>
      </c>
      <c r="B104" s="58" t="s">
        <v>9</v>
      </c>
      <c r="C104" s="28" t="s">
        <v>227</v>
      </c>
      <c r="D104" t="s">
        <v>35</v>
      </c>
      <c r="E104" s="28">
        <v>317.52000000000004</v>
      </c>
      <c r="F104" s="28">
        <v>8.8199999999999997E-3</v>
      </c>
      <c r="G104" s="28">
        <v>2.205E-2</v>
      </c>
      <c r="H104" s="28">
        <v>0.59535000000000005</v>
      </c>
      <c r="I104" t="s">
        <v>108</v>
      </c>
      <c r="J104" t="s">
        <v>65</v>
      </c>
    </row>
    <row r="105" spans="1:10" x14ac:dyDescent="0.3">
      <c r="A105" s="58" t="s">
        <v>329</v>
      </c>
      <c r="B105" s="58" t="s">
        <v>52</v>
      </c>
      <c r="C105" s="28" t="s">
        <v>227</v>
      </c>
      <c r="D105" t="s">
        <v>34</v>
      </c>
      <c r="E105" s="28">
        <v>1620.675</v>
      </c>
      <c r="F105" s="28">
        <v>4.4099999999999999E-3</v>
      </c>
      <c r="G105" s="28" t="s">
        <v>180</v>
      </c>
      <c r="H105" s="28" t="s">
        <v>180</v>
      </c>
      <c r="I105" t="s">
        <v>108</v>
      </c>
      <c r="J105" t="s">
        <v>65</v>
      </c>
    </row>
    <row r="106" spans="1:10" x14ac:dyDescent="0.3">
      <c r="A106" s="58" t="s">
        <v>329</v>
      </c>
      <c r="B106" s="58" t="s">
        <v>52</v>
      </c>
      <c r="C106" s="28" t="s">
        <v>227</v>
      </c>
      <c r="D106" t="s">
        <v>35</v>
      </c>
      <c r="E106" s="28">
        <v>317.52000000000004</v>
      </c>
      <c r="F106" s="28">
        <v>8.8199999999999997E-3</v>
      </c>
      <c r="G106" s="28">
        <v>2.205E-2</v>
      </c>
      <c r="H106" s="28">
        <v>0.59535000000000005</v>
      </c>
      <c r="I106" t="s">
        <v>108</v>
      </c>
      <c r="J106" t="s">
        <v>65</v>
      </c>
    </row>
    <row r="107" spans="1:10" x14ac:dyDescent="0.3">
      <c r="A107" s="58" t="s">
        <v>339</v>
      </c>
      <c r="B107" s="58" t="s">
        <v>9</v>
      </c>
      <c r="C107" s="28" t="s">
        <v>227</v>
      </c>
      <c r="D107" t="s">
        <v>34</v>
      </c>
      <c r="E107" s="28">
        <v>79.38000000000001</v>
      </c>
      <c r="F107" s="28">
        <v>4.4099999999999999E-3</v>
      </c>
      <c r="G107" s="28" t="s">
        <v>180</v>
      </c>
      <c r="H107" s="28" t="s">
        <v>180</v>
      </c>
      <c r="I107" t="s">
        <v>108</v>
      </c>
      <c r="J107" t="s">
        <v>65</v>
      </c>
    </row>
    <row r="108" spans="1:10" x14ac:dyDescent="0.3">
      <c r="A108" s="58" t="s">
        <v>339</v>
      </c>
      <c r="B108" s="58" t="s">
        <v>9</v>
      </c>
      <c r="C108" s="28" t="s">
        <v>227</v>
      </c>
      <c r="D108" t="s">
        <v>35</v>
      </c>
      <c r="E108" s="28">
        <v>564.48</v>
      </c>
      <c r="F108" s="28">
        <v>0.1323</v>
      </c>
      <c r="G108" s="28">
        <v>2.205E-2</v>
      </c>
      <c r="H108" s="28">
        <v>0.3528</v>
      </c>
      <c r="I108" t="s">
        <v>108</v>
      </c>
      <c r="J108" t="s">
        <v>65</v>
      </c>
    </row>
    <row r="109" spans="1:10" x14ac:dyDescent="0.3">
      <c r="A109" s="58" t="s">
        <v>339</v>
      </c>
      <c r="B109" s="58" t="s">
        <v>52</v>
      </c>
      <c r="C109" s="28" t="s">
        <v>227</v>
      </c>
      <c r="D109" t="s">
        <v>34</v>
      </c>
      <c r="E109" s="28">
        <v>394.69499999999999</v>
      </c>
      <c r="F109" s="28">
        <v>4.4099999999999999E-3</v>
      </c>
      <c r="G109" s="28" t="s">
        <v>180</v>
      </c>
      <c r="H109" s="28" t="s">
        <v>180</v>
      </c>
      <c r="I109" t="s">
        <v>108</v>
      </c>
      <c r="J109" t="s">
        <v>65</v>
      </c>
    </row>
    <row r="110" spans="1:10" x14ac:dyDescent="0.3">
      <c r="A110" s="58" t="s">
        <v>339</v>
      </c>
      <c r="B110" s="58" t="s">
        <v>52</v>
      </c>
      <c r="C110" s="28" t="s">
        <v>227</v>
      </c>
      <c r="D110" t="s">
        <v>35</v>
      </c>
      <c r="E110" s="28">
        <v>564.48</v>
      </c>
      <c r="F110" s="28">
        <v>0.1323</v>
      </c>
      <c r="G110" s="28">
        <v>2.205E-2</v>
      </c>
      <c r="H110" s="28">
        <v>0.3528</v>
      </c>
      <c r="I110" t="s">
        <v>108</v>
      </c>
      <c r="J110" t="s">
        <v>65</v>
      </c>
    </row>
    <row r="111" spans="1:10" x14ac:dyDescent="0.3">
      <c r="A111" s="58" t="s">
        <v>335</v>
      </c>
      <c r="B111" s="58" t="s">
        <v>9</v>
      </c>
      <c r="C111" s="28" t="s">
        <v>227</v>
      </c>
      <c r="D111" t="s">
        <v>34</v>
      </c>
      <c r="E111" s="28">
        <v>2471.04</v>
      </c>
      <c r="F111" s="28">
        <v>6.8640000000000003E-3</v>
      </c>
      <c r="G111" s="28" t="s">
        <v>180</v>
      </c>
      <c r="H111" s="28" t="s">
        <v>180</v>
      </c>
      <c r="I111" t="s">
        <v>108</v>
      </c>
      <c r="J111" t="s">
        <v>65</v>
      </c>
    </row>
    <row r="112" spans="1:10" x14ac:dyDescent="0.3">
      <c r="A112" s="58" t="s">
        <v>335</v>
      </c>
      <c r="B112" s="58" t="s">
        <v>9</v>
      </c>
      <c r="C112" s="28" t="s">
        <v>227</v>
      </c>
      <c r="D112" t="s">
        <v>35</v>
      </c>
      <c r="E112" s="28">
        <v>803.08799999999997</v>
      </c>
      <c r="F112" s="28">
        <v>3.8095200000000005</v>
      </c>
      <c r="G112" s="28">
        <v>0.13727999999999999</v>
      </c>
      <c r="H112" s="28">
        <v>1.23552</v>
      </c>
      <c r="I112" t="s">
        <v>108</v>
      </c>
      <c r="J112" t="s">
        <v>65</v>
      </c>
    </row>
    <row r="113" spans="1:11" x14ac:dyDescent="0.3">
      <c r="A113" s="58" t="s">
        <v>335</v>
      </c>
      <c r="B113" s="58" t="s">
        <v>52</v>
      </c>
      <c r="C113" s="28" t="s">
        <v>227</v>
      </c>
      <c r="D113" t="s">
        <v>34</v>
      </c>
      <c r="E113" s="28">
        <v>2457.3119999999999</v>
      </c>
      <c r="F113" s="28">
        <v>6.8640000000000003E-3</v>
      </c>
      <c r="G113" s="28" t="s">
        <v>180</v>
      </c>
      <c r="H113" s="28" t="s">
        <v>180</v>
      </c>
      <c r="I113" t="s">
        <v>108</v>
      </c>
      <c r="J113" t="s">
        <v>65</v>
      </c>
    </row>
    <row r="114" spans="1:11" x14ac:dyDescent="0.3">
      <c r="A114" s="58" t="s">
        <v>335</v>
      </c>
      <c r="B114" s="58" t="s">
        <v>52</v>
      </c>
      <c r="C114" s="28" t="s">
        <v>227</v>
      </c>
      <c r="D114" t="s">
        <v>35</v>
      </c>
      <c r="E114" s="28">
        <v>803.08799999999997</v>
      </c>
      <c r="F114" s="28">
        <v>3.8095200000000005</v>
      </c>
      <c r="G114" s="28">
        <v>0.13727999999999999</v>
      </c>
      <c r="H114" s="28">
        <v>1.23552</v>
      </c>
      <c r="I114" t="s">
        <v>108</v>
      </c>
      <c r="J114" t="s">
        <v>65</v>
      </c>
    </row>
    <row r="115" spans="1:11" hidden="1" x14ac:dyDescent="0.3">
      <c r="A115" s="58" t="s">
        <v>342</v>
      </c>
      <c r="B115" s="58" t="s">
        <v>9</v>
      </c>
      <c r="C115" s="28" t="s">
        <v>306</v>
      </c>
      <c r="D115" s="28" t="s">
        <v>34</v>
      </c>
      <c r="E115" s="28">
        <v>0</v>
      </c>
      <c r="F115" s="28" t="s">
        <v>180</v>
      </c>
      <c r="G115" s="28" t="s">
        <v>180</v>
      </c>
      <c r="H115" s="28" t="s">
        <v>180</v>
      </c>
      <c r="I115" s="28" t="s">
        <v>305</v>
      </c>
      <c r="J115" t="s">
        <v>167</v>
      </c>
    </row>
    <row r="116" spans="1:11" hidden="1" x14ac:dyDescent="0.3">
      <c r="A116" s="58" t="s">
        <v>342</v>
      </c>
      <c r="B116" s="58" t="s">
        <v>9</v>
      </c>
      <c r="C116" s="28" t="s">
        <v>306</v>
      </c>
      <c r="D116" s="28" t="s">
        <v>35</v>
      </c>
      <c r="E116" s="28">
        <v>8539.1782553729463</v>
      </c>
      <c r="F116" s="28" t="s">
        <v>180</v>
      </c>
      <c r="G116" s="28" t="s">
        <v>180</v>
      </c>
      <c r="H116" s="28" t="s">
        <v>180</v>
      </c>
      <c r="I116" s="28" t="s">
        <v>305</v>
      </c>
      <c r="J116" t="s">
        <v>302</v>
      </c>
    </row>
    <row r="117" spans="1:11" hidden="1" x14ac:dyDescent="0.3">
      <c r="A117" s="58" t="s">
        <v>342</v>
      </c>
      <c r="B117" s="58" t="s">
        <v>52</v>
      </c>
      <c r="C117" s="28" t="s">
        <v>306</v>
      </c>
      <c r="D117" s="28" t="s">
        <v>34</v>
      </c>
      <c r="E117" s="6">
        <v>0</v>
      </c>
      <c r="F117" s="28" t="s">
        <v>180</v>
      </c>
      <c r="G117" s="28" t="s">
        <v>180</v>
      </c>
      <c r="H117" s="28" t="s">
        <v>180</v>
      </c>
      <c r="I117" s="28" t="s">
        <v>305</v>
      </c>
      <c r="J117" t="s">
        <v>167</v>
      </c>
    </row>
    <row r="118" spans="1:11" hidden="1" x14ac:dyDescent="0.3">
      <c r="A118" s="58" t="s">
        <v>342</v>
      </c>
      <c r="B118" s="58" t="s">
        <v>52</v>
      </c>
      <c r="C118" s="28" t="s">
        <v>306</v>
      </c>
      <c r="D118" s="28" t="s">
        <v>35</v>
      </c>
      <c r="E118" s="28">
        <v>8539.1782553729463</v>
      </c>
      <c r="F118" s="28" t="s">
        <v>180</v>
      </c>
      <c r="G118" s="28" t="s">
        <v>180</v>
      </c>
      <c r="H118" s="28" t="s">
        <v>180</v>
      </c>
      <c r="I118" s="28" t="s">
        <v>305</v>
      </c>
      <c r="J118" t="s">
        <v>302</v>
      </c>
    </row>
    <row r="119" spans="1:11" hidden="1" x14ac:dyDescent="0.3">
      <c r="A119" s="58" t="s">
        <v>340</v>
      </c>
      <c r="B119" s="58" t="s">
        <v>9</v>
      </c>
      <c r="C119" s="28" t="s">
        <v>265</v>
      </c>
      <c r="D119" s="28" t="s">
        <v>34</v>
      </c>
      <c r="E119" s="28">
        <v>0</v>
      </c>
      <c r="F119" s="28" t="s">
        <v>180</v>
      </c>
      <c r="G119" s="28" t="s">
        <v>180</v>
      </c>
      <c r="H119" s="28" t="s">
        <v>180</v>
      </c>
      <c r="I119" s="28" t="s">
        <v>309</v>
      </c>
      <c r="J119" t="s">
        <v>167</v>
      </c>
      <c r="K119" s="63"/>
    </row>
    <row r="120" spans="1:11" hidden="1" x14ac:dyDescent="0.3">
      <c r="A120" s="58" t="s">
        <v>340</v>
      </c>
      <c r="B120" s="58" t="s">
        <v>9</v>
      </c>
      <c r="C120" s="28" t="s">
        <v>265</v>
      </c>
      <c r="D120" s="28" t="s">
        <v>35</v>
      </c>
      <c r="E120" s="28">
        <v>220</v>
      </c>
      <c r="F120" s="28" t="s">
        <v>180</v>
      </c>
      <c r="G120" s="28" t="s">
        <v>180</v>
      </c>
      <c r="H120" s="28" t="s">
        <v>180</v>
      </c>
      <c r="I120" s="28" t="s">
        <v>309</v>
      </c>
      <c r="J120" s="28" t="s">
        <v>167</v>
      </c>
    </row>
    <row r="121" spans="1:11" hidden="1" x14ac:dyDescent="0.3">
      <c r="A121" s="58" t="s">
        <v>340</v>
      </c>
      <c r="B121" s="58" t="s">
        <v>106</v>
      </c>
      <c r="C121" s="28" t="s">
        <v>265</v>
      </c>
      <c r="D121" s="28" t="s">
        <v>34</v>
      </c>
      <c r="E121" s="28">
        <v>0</v>
      </c>
      <c r="F121" s="28" t="s">
        <v>180</v>
      </c>
      <c r="G121" s="28" t="s">
        <v>180</v>
      </c>
      <c r="H121" s="28" t="s">
        <v>180</v>
      </c>
      <c r="I121" s="28" t="s">
        <v>309</v>
      </c>
      <c r="J121" t="s">
        <v>167</v>
      </c>
    </row>
    <row r="122" spans="1:11" hidden="1" x14ac:dyDescent="0.3">
      <c r="A122" s="58" t="s">
        <v>340</v>
      </c>
      <c r="B122" s="58" t="s">
        <v>106</v>
      </c>
      <c r="C122" s="28" t="s">
        <v>265</v>
      </c>
      <c r="D122" s="28" t="s">
        <v>35</v>
      </c>
      <c r="E122" s="28">
        <v>220</v>
      </c>
      <c r="F122" s="28" t="s">
        <v>180</v>
      </c>
      <c r="G122" s="28" t="s">
        <v>180</v>
      </c>
      <c r="H122" s="28" t="s">
        <v>180</v>
      </c>
      <c r="I122" s="28" t="s">
        <v>309</v>
      </c>
      <c r="J122" s="28" t="s">
        <v>167</v>
      </c>
    </row>
    <row r="123" spans="1:11" hidden="1" x14ac:dyDescent="0.3">
      <c r="A123" s="58" t="s">
        <v>340</v>
      </c>
      <c r="B123" s="58" t="s">
        <v>52</v>
      </c>
      <c r="C123" s="28" t="s">
        <v>265</v>
      </c>
      <c r="D123" s="28" t="s">
        <v>34</v>
      </c>
      <c r="E123" s="28">
        <v>0</v>
      </c>
      <c r="F123" s="28" t="s">
        <v>180</v>
      </c>
      <c r="G123" s="28" t="s">
        <v>180</v>
      </c>
      <c r="H123" s="28" t="s">
        <v>180</v>
      </c>
      <c r="I123" s="28" t="s">
        <v>309</v>
      </c>
      <c r="J123" s="28" t="s">
        <v>167</v>
      </c>
    </row>
    <row r="124" spans="1:11" hidden="1" x14ac:dyDescent="0.3">
      <c r="A124" s="58" t="s">
        <v>340</v>
      </c>
      <c r="B124" s="58" t="s">
        <v>52</v>
      </c>
      <c r="C124" s="28" t="s">
        <v>265</v>
      </c>
      <c r="D124" s="28" t="s">
        <v>35</v>
      </c>
      <c r="E124" s="28">
        <v>220</v>
      </c>
      <c r="F124" s="28" t="s">
        <v>180</v>
      </c>
      <c r="G124" s="28" t="s">
        <v>180</v>
      </c>
      <c r="H124" s="28" t="s">
        <v>180</v>
      </c>
      <c r="I124" s="28" t="s">
        <v>309</v>
      </c>
      <c r="J124" s="28" t="s">
        <v>301</v>
      </c>
    </row>
  </sheetData>
  <sheetProtection algorithmName="SHA-512" hashValue="zHPrbAxGUqJ9E4uoK1RiZfobXA1Ksrm+nkP/hFqsc9wXSUv/fGK8GerKlEGvIn5hu4wvyIA5HVbKaEZKUolAVw==" saltValue="p5W7iC8EFYIGc+nN3UIx2Q==" spinCount="100000" sheet="1" objects="1" scenarios="1"/>
  <mergeCells count="5">
    <mergeCell ref="D48:F48"/>
    <mergeCell ref="G48:K48"/>
    <mergeCell ref="C1:D1"/>
    <mergeCell ref="J17:M17"/>
    <mergeCell ref="F17:H17"/>
  </mergeCells>
  <phoneticPr fontId="4" type="noConversion"/>
  <pageMargins left="0.7" right="0.7" top="0.75" bottom="0.75" header="0.3" footer="0.3"/>
  <ignoredErrors>
    <ignoredError sqref="E93:E114 E91 E89 E81:E87 E73:E80 E88 E90 E92 E123 E121 E119 E115:E118 E120 E122 E124" calculatedColumn="1"/>
  </ignoredErrors>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0B808-F92E-4B1F-86A5-C0FF70902F27}">
  <sheetPr>
    <tabColor rgb="FFCC9900"/>
  </sheetPr>
  <dimension ref="A1:J33"/>
  <sheetViews>
    <sheetView workbookViewId="0">
      <selection activeCell="H10" sqref="H10"/>
    </sheetView>
  </sheetViews>
  <sheetFormatPr baseColWidth="10" defaultRowHeight="14.4" x14ac:dyDescent="0.3"/>
  <cols>
    <col min="1" max="1" width="26.44140625" bestFit="1" customWidth="1"/>
    <col min="2" max="2" width="19.5546875" customWidth="1"/>
    <col min="3" max="3" width="22.44140625" bestFit="1" customWidth="1"/>
    <col min="4" max="4" width="14.33203125" bestFit="1" customWidth="1"/>
    <col min="5" max="6" width="11.5546875" customWidth="1"/>
    <col min="7" max="7" width="14.33203125" bestFit="1" customWidth="1"/>
  </cols>
  <sheetData>
    <row r="1" spans="1:10" ht="21" x14ac:dyDescent="0.4">
      <c r="A1" s="60" t="s">
        <v>6</v>
      </c>
      <c r="B1" s="60" t="s">
        <v>225</v>
      </c>
      <c r="C1" s="60" t="s">
        <v>46</v>
      </c>
      <c r="D1" s="55" t="s">
        <v>47</v>
      </c>
      <c r="E1" s="55" t="s">
        <v>49</v>
      </c>
      <c r="F1" s="55" t="s">
        <v>50</v>
      </c>
      <c r="G1" s="55" t="s">
        <v>293</v>
      </c>
    </row>
    <row r="2" spans="1:10" x14ac:dyDescent="0.3">
      <c r="A2" t="s">
        <v>9</v>
      </c>
      <c r="B2" t="s">
        <v>341</v>
      </c>
      <c r="C2" t="s">
        <v>35</v>
      </c>
      <c r="D2" s="6">
        <v>1</v>
      </c>
      <c r="E2" s="6">
        <v>1</v>
      </c>
      <c r="F2" s="6">
        <v>1</v>
      </c>
      <c r="G2" t="s">
        <v>317</v>
      </c>
    </row>
    <row r="3" spans="1:10" x14ac:dyDescent="0.3">
      <c r="A3" t="s">
        <v>9</v>
      </c>
      <c r="B3" t="s">
        <v>341</v>
      </c>
      <c r="C3" t="s">
        <v>34</v>
      </c>
      <c r="D3" s="6">
        <v>0.06</v>
      </c>
      <c r="E3" s="6">
        <v>1</v>
      </c>
      <c r="F3" s="6">
        <v>0.74</v>
      </c>
      <c r="G3" t="s">
        <v>65</v>
      </c>
      <c r="J3" t="s">
        <v>115</v>
      </c>
    </row>
    <row r="4" spans="1:10" x14ac:dyDescent="0.3">
      <c r="A4" t="s">
        <v>9</v>
      </c>
      <c r="B4" t="s">
        <v>332</v>
      </c>
      <c r="C4" t="s">
        <v>35</v>
      </c>
      <c r="D4" s="6">
        <v>1</v>
      </c>
      <c r="E4" s="6">
        <v>1</v>
      </c>
      <c r="F4" s="6">
        <v>1</v>
      </c>
      <c r="G4" t="s">
        <v>317</v>
      </c>
      <c r="J4" t="s">
        <v>115</v>
      </c>
    </row>
    <row r="5" spans="1:10" x14ac:dyDescent="0.3">
      <c r="A5" t="s">
        <v>9</v>
      </c>
      <c r="B5" t="s">
        <v>332</v>
      </c>
      <c r="C5" t="s">
        <v>34</v>
      </c>
      <c r="D5" s="6">
        <v>0.02</v>
      </c>
      <c r="E5" s="6">
        <v>1</v>
      </c>
      <c r="F5" s="6">
        <v>1</v>
      </c>
      <c r="G5" t="s">
        <v>65</v>
      </c>
      <c r="J5" t="s">
        <v>115</v>
      </c>
    </row>
    <row r="6" spans="1:10" x14ac:dyDescent="0.3">
      <c r="A6" t="s">
        <v>9</v>
      </c>
      <c r="B6" t="s">
        <v>339</v>
      </c>
      <c r="C6" t="s">
        <v>35</v>
      </c>
      <c r="D6" s="6">
        <v>1</v>
      </c>
      <c r="E6" s="6">
        <v>1</v>
      </c>
      <c r="F6" s="6">
        <v>1</v>
      </c>
      <c r="G6" t="s">
        <v>317</v>
      </c>
      <c r="J6" t="s">
        <v>115</v>
      </c>
    </row>
    <row r="7" spans="1:10" x14ac:dyDescent="0.3">
      <c r="A7" t="s">
        <v>52</v>
      </c>
      <c r="B7" t="s">
        <v>339</v>
      </c>
      <c r="C7" t="s">
        <v>34</v>
      </c>
      <c r="D7">
        <v>0.25</v>
      </c>
      <c r="E7">
        <v>0.1</v>
      </c>
      <c r="F7">
        <v>0.25</v>
      </c>
      <c r="G7" t="s">
        <v>65</v>
      </c>
      <c r="J7" t="s">
        <v>115</v>
      </c>
    </row>
    <row r="8" spans="1:10" x14ac:dyDescent="0.3">
      <c r="A8" t="s">
        <v>52</v>
      </c>
      <c r="B8" t="s">
        <v>339</v>
      </c>
      <c r="C8" t="s">
        <v>35</v>
      </c>
      <c r="D8" s="6">
        <v>1</v>
      </c>
      <c r="E8" s="6">
        <v>1</v>
      </c>
      <c r="F8" s="6">
        <v>1</v>
      </c>
      <c r="G8" t="s">
        <v>317</v>
      </c>
      <c r="J8" t="s">
        <v>115</v>
      </c>
    </row>
    <row r="9" spans="1:10" x14ac:dyDescent="0.3">
      <c r="A9" t="s">
        <v>9</v>
      </c>
      <c r="B9" t="s">
        <v>339</v>
      </c>
      <c r="C9" t="s">
        <v>34</v>
      </c>
      <c r="D9" s="6">
        <v>0.06</v>
      </c>
      <c r="E9" s="6">
        <v>1</v>
      </c>
      <c r="F9" s="6">
        <v>0.74</v>
      </c>
      <c r="G9" t="s">
        <v>65</v>
      </c>
      <c r="J9" t="s">
        <v>115</v>
      </c>
    </row>
    <row r="10" spans="1:10" x14ac:dyDescent="0.3">
      <c r="A10" t="s">
        <v>9</v>
      </c>
      <c r="B10" t="s">
        <v>330</v>
      </c>
      <c r="C10" t="s">
        <v>35</v>
      </c>
      <c r="D10" s="6">
        <v>1</v>
      </c>
      <c r="E10" s="6">
        <v>1</v>
      </c>
      <c r="F10" s="6">
        <v>1</v>
      </c>
      <c r="G10" t="s">
        <v>317</v>
      </c>
      <c r="J10" t="s">
        <v>115</v>
      </c>
    </row>
    <row r="11" spans="1:10" x14ac:dyDescent="0.3">
      <c r="A11" t="s">
        <v>9</v>
      </c>
      <c r="B11" t="s">
        <v>330</v>
      </c>
      <c r="C11" t="s">
        <v>34</v>
      </c>
      <c r="D11" s="6">
        <v>0.96</v>
      </c>
      <c r="E11" s="6">
        <v>1</v>
      </c>
      <c r="F11" s="6">
        <v>0.74</v>
      </c>
      <c r="G11" t="s">
        <v>65</v>
      </c>
    </row>
    <row r="12" spans="1:10" x14ac:dyDescent="0.3">
      <c r="A12" t="s">
        <v>9</v>
      </c>
      <c r="B12" t="s">
        <v>328</v>
      </c>
      <c r="C12" t="s">
        <v>35</v>
      </c>
      <c r="D12" s="6">
        <v>1</v>
      </c>
      <c r="E12" s="6">
        <v>1</v>
      </c>
      <c r="F12" s="6">
        <v>1</v>
      </c>
      <c r="G12" t="s">
        <v>317</v>
      </c>
      <c r="J12" t="s">
        <v>115</v>
      </c>
    </row>
    <row r="13" spans="1:10" x14ac:dyDescent="0.3">
      <c r="A13" t="s">
        <v>52</v>
      </c>
      <c r="B13" t="s">
        <v>328</v>
      </c>
      <c r="C13" t="s">
        <v>34</v>
      </c>
      <c r="D13">
        <v>1</v>
      </c>
      <c r="E13">
        <v>1</v>
      </c>
      <c r="F13">
        <v>1</v>
      </c>
      <c r="G13" t="s">
        <v>65</v>
      </c>
      <c r="J13" t="s">
        <v>115</v>
      </c>
    </row>
    <row r="14" spans="1:10" x14ac:dyDescent="0.3">
      <c r="A14" t="s">
        <v>52</v>
      </c>
      <c r="B14" t="s">
        <v>328</v>
      </c>
      <c r="C14" t="s">
        <v>35</v>
      </c>
      <c r="D14" s="6">
        <v>1</v>
      </c>
      <c r="E14" s="6">
        <v>1</v>
      </c>
      <c r="F14" s="6">
        <v>1</v>
      </c>
      <c r="G14" t="s">
        <v>317</v>
      </c>
      <c r="J14" t="s">
        <v>115</v>
      </c>
    </row>
    <row r="15" spans="1:10" x14ac:dyDescent="0.3">
      <c r="A15" t="s">
        <v>8</v>
      </c>
      <c r="B15" t="s">
        <v>328</v>
      </c>
      <c r="C15" t="s">
        <v>34</v>
      </c>
      <c r="D15" s="6">
        <v>1</v>
      </c>
      <c r="E15" s="6">
        <v>1</v>
      </c>
      <c r="F15" s="6">
        <v>1</v>
      </c>
      <c r="G15" t="s">
        <v>65</v>
      </c>
      <c r="J15" t="s">
        <v>115</v>
      </c>
    </row>
    <row r="16" spans="1:10" x14ac:dyDescent="0.3">
      <c r="A16" t="s">
        <v>8</v>
      </c>
      <c r="B16" t="s">
        <v>328</v>
      </c>
      <c r="C16" t="s">
        <v>35</v>
      </c>
      <c r="D16" s="6">
        <v>1</v>
      </c>
      <c r="E16" s="6">
        <v>1</v>
      </c>
      <c r="F16" s="6">
        <v>1</v>
      </c>
      <c r="G16" t="s">
        <v>317</v>
      </c>
      <c r="J16" t="s">
        <v>115</v>
      </c>
    </row>
    <row r="17" spans="1:10" x14ac:dyDescent="0.3">
      <c r="A17" t="s">
        <v>9</v>
      </c>
      <c r="B17" t="s">
        <v>328</v>
      </c>
      <c r="C17" t="s">
        <v>34</v>
      </c>
      <c r="D17" s="6">
        <v>1</v>
      </c>
      <c r="E17" s="6">
        <v>1</v>
      </c>
      <c r="F17" s="6">
        <v>1</v>
      </c>
      <c r="G17" t="s">
        <v>65</v>
      </c>
      <c r="J17" t="s">
        <v>115</v>
      </c>
    </row>
    <row r="18" spans="1:10" x14ac:dyDescent="0.3">
      <c r="A18" t="s">
        <v>9</v>
      </c>
      <c r="B18" t="s">
        <v>340</v>
      </c>
      <c r="C18" t="s">
        <v>35</v>
      </c>
      <c r="D18" s="6">
        <v>1</v>
      </c>
      <c r="E18" s="6">
        <v>1</v>
      </c>
      <c r="F18" s="6">
        <v>1</v>
      </c>
      <c r="G18" t="s">
        <v>317</v>
      </c>
    </row>
    <row r="19" spans="1:10" x14ac:dyDescent="0.3">
      <c r="A19" t="s">
        <v>8</v>
      </c>
      <c r="B19" t="s">
        <v>340</v>
      </c>
      <c r="C19" t="s">
        <v>34</v>
      </c>
      <c r="D19" s="6">
        <v>1</v>
      </c>
      <c r="E19" s="6">
        <v>1</v>
      </c>
      <c r="F19" s="6">
        <v>1</v>
      </c>
      <c r="G19" t="s">
        <v>65</v>
      </c>
    </row>
    <row r="20" spans="1:10" x14ac:dyDescent="0.3">
      <c r="A20" t="s">
        <v>8</v>
      </c>
      <c r="B20" t="s">
        <v>340</v>
      </c>
      <c r="C20" t="s">
        <v>35</v>
      </c>
      <c r="D20" s="6">
        <v>1</v>
      </c>
      <c r="E20" s="6">
        <v>1</v>
      </c>
      <c r="F20" s="6">
        <v>1</v>
      </c>
      <c r="G20" t="s">
        <v>317</v>
      </c>
    </row>
    <row r="21" spans="1:10" x14ac:dyDescent="0.3">
      <c r="A21" t="s">
        <v>9</v>
      </c>
      <c r="B21" t="s">
        <v>340</v>
      </c>
      <c r="C21" t="s">
        <v>34</v>
      </c>
      <c r="D21" s="6">
        <v>0</v>
      </c>
      <c r="E21" s="6">
        <v>0</v>
      </c>
      <c r="F21" s="6">
        <v>0</v>
      </c>
      <c r="G21" t="s">
        <v>65</v>
      </c>
    </row>
    <row r="22" spans="1:10" x14ac:dyDescent="0.3">
      <c r="A22" t="s">
        <v>9</v>
      </c>
      <c r="B22" t="s">
        <v>335</v>
      </c>
      <c r="C22" t="s">
        <v>35</v>
      </c>
      <c r="D22" s="6">
        <v>1</v>
      </c>
      <c r="E22" s="6">
        <v>1</v>
      </c>
      <c r="F22" s="6">
        <v>1</v>
      </c>
      <c r="G22" t="s">
        <v>317</v>
      </c>
    </row>
    <row r="23" spans="1:10" x14ac:dyDescent="0.3">
      <c r="A23" t="s">
        <v>9</v>
      </c>
      <c r="B23" t="s">
        <v>335</v>
      </c>
      <c r="C23" t="s">
        <v>34</v>
      </c>
      <c r="D23" s="6">
        <v>1.03</v>
      </c>
      <c r="E23" s="6">
        <v>1</v>
      </c>
      <c r="F23" s="6">
        <v>1</v>
      </c>
      <c r="G23" t="s">
        <v>65</v>
      </c>
    </row>
    <row r="24" spans="1:10" x14ac:dyDescent="0.3">
      <c r="A24" t="s">
        <v>9</v>
      </c>
      <c r="B24" t="s">
        <v>338</v>
      </c>
      <c r="C24" t="s">
        <v>35</v>
      </c>
      <c r="D24" s="6">
        <v>1</v>
      </c>
      <c r="E24" s="6">
        <v>1</v>
      </c>
      <c r="F24" s="6">
        <v>1</v>
      </c>
      <c r="G24" t="s">
        <v>317</v>
      </c>
    </row>
    <row r="25" spans="1:10" x14ac:dyDescent="0.3">
      <c r="A25" t="s">
        <v>52</v>
      </c>
      <c r="B25" t="s">
        <v>338</v>
      </c>
      <c r="C25" t="s">
        <v>34</v>
      </c>
      <c r="D25">
        <v>0.01</v>
      </c>
      <c r="E25">
        <v>0.8</v>
      </c>
      <c r="F25">
        <v>0.9</v>
      </c>
      <c r="G25" t="s">
        <v>65</v>
      </c>
    </row>
    <row r="26" spans="1:10" x14ac:dyDescent="0.3">
      <c r="A26" t="s">
        <v>52</v>
      </c>
      <c r="B26" t="s">
        <v>338</v>
      </c>
      <c r="C26" t="s">
        <v>35</v>
      </c>
      <c r="D26" s="6">
        <v>1</v>
      </c>
      <c r="E26" s="6">
        <v>1</v>
      </c>
      <c r="F26" s="6">
        <v>1</v>
      </c>
      <c r="G26" t="s">
        <v>317</v>
      </c>
    </row>
    <row r="27" spans="1:10" x14ac:dyDescent="0.3">
      <c r="A27" t="s">
        <v>9</v>
      </c>
      <c r="B27" t="s">
        <v>338</v>
      </c>
      <c r="C27" t="s">
        <v>34</v>
      </c>
      <c r="D27" s="6">
        <v>0.02</v>
      </c>
      <c r="E27" s="6">
        <v>1</v>
      </c>
      <c r="F27" s="6">
        <v>1</v>
      </c>
      <c r="G27" t="s">
        <v>65</v>
      </c>
    </row>
    <row r="28" spans="1:10" x14ac:dyDescent="0.3">
      <c r="A28" t="s">
        <v>9</v>
      </c>
      <c r="B28" t="s">
        <v>334</v>
      </c>
      <c r="C28" t="s">
        <v>35</v>
      </c>
      <c r="D28" s="6">
        <v>1</v>
      </c>
      <c r="E28" s="6">
        <v>1</v>
      </c>
      <c r="F28" s="6">
        <v>1</v>
      </c>
      <c r="G28" t="s">
        <v>317</v>
      </c>
    </row>
    <row r="29" spans="1:10" x14ac:dyDescent="0.3">
      <c r="A29" t="s">
        <v>9</v>
      </c>
      <c r="B29" t="s">
        <v>334</v>
      </c>
      <c r="C29" t="s">
        <v>34</v>
      </c>
      <c r="D29" s="6">
        <v>0</v>
      </c>
      <c r="E29" s="6">
        <v>0</v>
      </c>
      <c r="F29" s="6">
        <v>0</v>
      </c>
      <c r="G29" t="s">
        <v>65</v>
      </c>
    </row>
    <row r="30" spans="1:10" x14ac:dyDescent="0.3">
      <c r="A30" t="s">
        <v>9</v>
      </c>
      <c r="B30" t="s">
        <v>329</v>
      </c>
      <c r="C30" t="s">
        <v>35</v>
      </c>
      <c r="D30" s="6">
        <v>1</v>
      </c>
      <c r="E30" s="6">
        <v>1</v>
      </c>
      <c r="F30" s="6">
        <v>1</v>
      </c>
      <c r="G30" t="s">
        <v>317</v>
      </c>
    </row>
    <row r="31" spans="1:10" x14ac:dyDescent="0.3">
      <c r="A31" t="s">
        <v>52</v>
      </c>
      <c r="B31" t="s">
        <v>329</v>
      </c>
      <c r="C31" t="s">
        <v>34</v>
      </c>
      <c r="D31">
        <v>1.04</v>
      </c>
      <c r="E31">
        <v>0.1</v>
      </c>
      <c r="F31">
        <v>0.25</v>
      </c>
      <c r="G31" t="s">
        <v>65</v>
      </c>
    </row>
    <row r="32" spans="1:10" x14ac:dyDescent="0.3">
      <c r="A32" t="s">
        <v>52</v>
      </c>
      <c r="B32" t="s">
        <v>329</v>
      </c>
      <c r="C32" t="s">
        <v>35</v>
      </c>
      <c r="D32" s="6">
        <v>1</v>
      </c>
      <c r="E32" s="6">
        <v>1</v>
      </c>
      <c r="F32" s="6">
        <v>1</v>
      </c>
      <c r="G32" t="s">
        <v>317</v>
      </c>
    </row>
    <row r="33" spans="1:7" x14ac:dyDescent="0.3">
      <c r="A33" t="s">
        <v>9</v>
      </c>
      <c r="B33" t="s">
        <v>329</v>
      </c>
      <c r="C33" t="s">
        <v>34</v>
      </c>
      <c r="D33" s="6">
        <v>0.96</v>
      </c>
      <c r="E33" s="6">
        <v>1</v>
      </c>
      <c r="F33" s="6">
        <v>0.74</v>
      </c>
      <c r="G33" t="s">
        <v>65</v>
      </c>
    </row>
  </sheetData>
  <sheetProtection algorithmName="SHA-512" hashValue="eCVozOByJQBuhxeKd43W9kDQiQ6cf76DNvJhYNheE1WTCuBvT9tKbqcwkjWxFtJKRQ8Drpuc1ngFtIsd6v5EZg==" saltValue="DxbL4XgXrXhQFjJqaEb9wQ==" spinCount="100000" sheet="1" objects="1" scenario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5FA5-4136-4FFB-9CAC-37AA453FC050}">
  <sheetPr>
    <tabColor theme="5" tint="-0.249977111117893"/>
  </sheetPr>
  <dimension ref="A1:O18"/>
  <sheetViews>
    <sheetView workbookViewId="0">
      <selection activeCell="H25" sqref="H25"/>
    </sheetView>
  </sheetViews>
  <sheetFormatPr baseColWidth="10" defaultRowHeight="14.4" x14ac:dyDescent="0.3"/>
  <cols>
    <col min="1" max="1" width="23.6640625" bestFit="1" customWidth="1"/>
    <col min="2" max="2" width="16.6640625" customWidth="1"/>
    <col min="3" max="6" width="11.5546875" customWidth="1"/>
    <col min="7" max="7" width="18.88671875" customWidth="1"/>
    <col min="8" max="8" width="29.5546875" bestFit="1" customWidth="1"/>
    <col min="11" max="13" width="0" hidden="1" customWidth="1"/>
    <col min="14" max="14" width="20.44140625" hidden="1" customWidth="1"/>
    <col min="15" max="17" width="0" hidden="1" customWidth="1"/>
  </cols>
  <sheetData>
    <row r="1" spans="1:15" x14ac:dyDescent="0.3">
      <c r="A1" s="268" t="s">
        <v>312</v>
      </c>
      <c r="B1" s="269"/>
      <c r="C1" s="269"/>
      <c r="D1" s="269"/>
      <c r="E1" s="269"/>
      <c r="F1" s="269"/>
      <c r="G1" s="269"/>
      <c r="H1" s="270"/>
    </row>
    <row r="2" spans="1:15" x14ac:dyDescent="0.3">
      <c r="A2" s="82" t="s">
        <v>315</v>
      </c>
      <c r="B2" s="8" t="s">
        <v>285</v>
      </c>
      <c r="C2" s="3" t="s">
        <v>47</v>
      </c>
      <c r="D2" s="3" t="s">
        <v>48</v>
      </c>
      <c r="E2" s="3" t="s">
        <v>49</v>
      </c>
      <c r="F2" s="3" t="s">
        <v>50</v>
      </c>
      <c r="G2" s="3" t="s">
        <v>107</v>
      </c>
      <c r="H2" s="83" t="s">
        <v>268</v>
      </c>
      <c r="K2" s="64"/>
      <c r="L2" s="64" t="s">
        <v>277</v>
      </c>
      <c r="N2" t="s">
        <v>253</v>
      </c>
    </row>
    <row r="3" spans="1:15" x14ac:dyDescent="0.3">
      <c r="A3" s="67" t="s">
        <v>113</v>
      </c>
      <c r="B3" t="s">
        <v>26</v>
      </c>
      <c r="C3" s="5">
        <f>$L3*L8</f>
        <v>380.84444444444449</v>
      </c>
      <c r="D3" s="5">
        <f>$L3*M8</f>
        <v>2.4444444444444448E-3</v>
      </c>
      <c r="E3" s="5">
        <f>$L3*N8</f>
        <v>8.3111111111111122E-2</v>
      </c>
      <c r="F3" s="5">
        <f>$L3*O8</f>
        <v>1.544888888888889</v>
      </c>
      <c r="G3" t="s">
        <v>280</v>
      </c>
      <c r="H3" s="68" t="s">
        <v>281</v>
      </c>
      <c r="K3" s="64" t="s">
        <v>271</v>
      </c>
      <c r="L3" s="80">
        <f>N16</f>
        <v>0.48888888888888893</v>
      </c>
      <c r="N3" t="s">
        <v>108</v>
      </c>
      <c r="O3" t="s">
        <v>303</v>
      </c>
    </row>
    <row r="4" spans="1:15" x14ac:dyDescent="0.3">
      <c r="A4" s="67" t="s">
        <v>15</v>
      </c>
      <c r="B4" t="s">
        <v>26</v>
      </c>
      <c r="C4" s="5">
        <f>$L4*L8</f>
        <v>1012.7</v>
      </c>
      <c r="D4" s="5">
        <f t="shared" ref="D4:F4" si="0">$L4*M8</f>
        <v>6.5000000000000006E-3</v>
      </c>
      <c r="E4" s="5">
        <f t="shared" si="0"/>
        <v>0.22100000000000003</v>
      </c>
      <c r="F4" s="5">
        <f t="shared" si="0"/>
        <v>4.1080000000000005</v>
      </c>
      <c r="G4" t="s">
        <v>280</v>
      </c>
      <c r="H4" s="68" t="s">
        <v>281</v>
      </c>
      <c r="K4" s="64" t="s">
        <v>273</v>
      </c>
      <c r="L4" s="64">
        <v>1.3</v>
      </c>
      <c r="N4">
        <v>1</v>
      </c>
      <c r="O4">
        <v>10.74</v>
      </c>
    </row>
    <row r="5" spans="1:15" x14ac:dyDescent="0.3">
      <c r="A5" s="67" t="s">
        <v>113</v>
      </c>
      <c r="B5" t="s">
        <v>25</v>
      </c>
      <c r="C5" s="5">
        <f>$L3*L9</f>
        <v>268.40000000000003</v>
      </c>
      <c r="D5" s="5">
        <f t="shared" ref="D5:F5" si="1">$L3*M9</f>
        <v>8.0177777777777792E-2</v>
      </c>
      <c r="E5" s="5">
        <f t="shared" si="1"/>
        <v>9.7777777777777793E-3</v>
      </c>
      <c r="F5" s="5">
        <f t="shared" si="1"/>
        <v>0.19066666666666668</v>
      </c>
      <c r="G5" t="s">
        <v>280</v>
      </c>
      <c r="H5" s="68" t="s">
        <v>281</v>
      </c>
    </row>
    <row r="6" spans="1:15" x14ac:dyDescent="0.3">
      <c r="A6" s="67" t="s">
        <v>15</v>
      </c>
      <c r="B6" t="s">
        <v>25</v>
      </c>
      <c r="C6" s="5">
        <f>$L4*L9</f>
        <v>713.7</v>
      </c>
      <c r="D6" s="5">
        <f t="shared" ref="D6:F6" si="2">$L4*M9</f>
        <v>0.21320000000000003</v>
      </c>
      <c r="E6" s="5">
        <f t="shared" si="2"/>
        <v>2.6000000000000002E-2</v>
      </c>
      <c r="F6" s="5">
        <f t="shared" si="2"/>
        <v>0.50700000000000001</v>
      </c>
      <c r="G6" t="s">
        <v>280</v>
      </c>
      <c r="H6" s="68" t="s">
        <v>281</v>
      </c>
      <c r="K6" s="64"/>
      <c r="L6" s="267" t="s">
        <v>275</v>
      </c>
      <c r="M6" s="267"/>
      <c r="N6" s="267"/>
      <c r="O6" s="267"/>
    </row>
    <row r="7" spans="1:15" ht="15" thickBot="1" x14ac:dyDescent="0.35">
      <c r="A7" s="69"/>
      <c r="B7" s="70"/>
      <c r="C7" s="70"/>
      <c r="D7" s="70"/>
      <c r="E7" s="70"/>
      <c r="F7" s="70"/>
      <c r="G7" s="70"/>
      <c r="H7" s="71"/>
      <c r="K7" s="64"/>
      <c r="L7" s="64" t="s">
        <v>47</v>
      </c>
      <c r="M7" s="64" t="s">
        <v>48</v>
      </c>
      <c r="N7" s="64" t="s">
        <v>49</v>
      </c>
      <c r="O7" s="64" t="s">
        <v>50</v>
      </c>
    </row>
    <row r="8" spans="1:15" x14ac:dyDescent="0.3">
      <c r="A8" s="268" t="s">
        <v>313</v>
      </c>
      <c r="B8" s="269"/>
      <c r="C8" s="269"/>
      <c r="D8" s="269"/>
      <c r="E8" s="269"/>
      <c r="F8" s="269"/>
      <c r="G8" s="269"/>
      <c r="H8" s="270"/>
      <c r="K8" s="64" t="s">
        <v>26</v>
      </c>
      <c r="L8" s="64">
        <v>779</v>
      </c>
      <c r="M8" s="64">
        <v>5.0000000000000001E-3</v>
      </c>
      <c r="N8" s="64">
        <v>0.17</v>
      </c>
      <c r="O8" s="64">
        <v>3.16</v>
      </c>
    </row>
    <row r="9" spans="1:15" x14ac:dyDescent="0.3">
      <c r="A9" s="84" t="s">
        <v>285</v>
      </c>
      <c r="B9" s="3" t="s">
        <v>47</v>
      </c>
      <c r="C9" s="3" t="s">
        <v>48</v>
      </c>
      <c r="D9" s="3" t="s">
        <v>49</v>
      </c>
      <c r="E9" s="3" t="s">
        <v>50</v>
      </c>
      <c r="F9" s="3" t="s">
        <v>107</v>
      </c>
      <c r="G9" s="3" t="s">
        <v>268</v>
      </c>
      <c r="H9" s="68"/>
      <c r="K9" s="64" t="s">
        <v>274</v>
      </c>
      <c r="L9" s="64">
        <v>549</v>
      </c>
      <c r="M9" s="64">
        <v>0.16400000000000001</v>
      </c>
      <c r="N9" s="64">
        <v>0.02</v>
      </c>
      <c r="O9" s="64">
        <v>0.39</v>
      </c>
    </row>
    <row r="10" spans="1:15" x14ac:dyDescent="0.3">
      <c r="A10" s="67" t="s">
        <v>26</v>
      </c>
      <c r="B10">
        <v>8366.4600000000009</v>
      </c>
      <c r="C10">
        <v>5.3700000000000005E-2</v>
      </c>
      <c r="D10">
        <v>1.8258000000000001</v>
      </c>
      <c r="E10">
        <v>33.938400000000001</v>
      </c>
      <c r="F10" t="s">
        <v>311</v>
      </c>
      <c r="G10" t="s">
        <v>281</v>
      </c>
      <c r="H10" s="68"/>
    </row>
    <row r="11" spans="1:15" x14ac:dyDescent="0.3">
      <c r="A11" s="67" t="s">
        <v>25</v>
      </c>
      <c r="B11">
        <v>549</v>
      </c>
      <c r="C11">
        <v>0.16400000000000001</v>
      </c>
      <c r="D11">
        <v>0.02</v>
      </c>
      <c r="E11">
        <v>0.39</v>
      </c>
      <c r="F11" t="s">
        <v>265</v>
      </c>
      <c r="G11" t="s">
        <v>281</v>
      </c>
      <c r="H11" s="68"/>
      <c r="K11" s="64"/>
      <c r="L11" s="267" t="s">
        <v>311</v>
      </c>
      <c r="M11" s="267"/>
      <c r="N11" s="267"/>
      <c r="O11" s="267"/>
    </row>
    <row r="12" spans="1:15" ht="15" thickBot="1" x14ac:dyDescent="0.35">
      <c r="A12" s="69"/>
      <c r="B12" s="70"/>
      <c r="C12" s="70"/>
      <c r="D12" s="70"/>
      <c r="E12" s="70"/>
      <c r="F12" s="70"/>
      <c r="G12" s="70"/>
      <c r="H12" s="71"/>
      <c r="K12" s="64"/>
      <c r="L12" s="64" t="s">
        <v>47</v>
      </c>
      <c r="M12" s="64" t="s">
        <v>48</v>
      </c>
      <c r="N12" s="64" t="s">
        <v>49</v>
      </c>
      <c r="O12" s="64" t="s">
        <v>50</v>
      </c>
    </row>
    <row r="13" spans="1:15" x14ac:dyDescent="0.3">
      <c r="K13" s="64" t="s">
        <v>26</v>
      </c>
      <c r="L13" s="64">
        <f>L8*$O$4</f>
        <v>8366.4600000000009</v>
      </c>
      <c r="M13" s="64">
        <f t="shared" ref="M13:O13" si="3">M8*$O$4</f>
        <v>5.3700000000000005E-2</v>
      </c>
      <c r="N13" s="64">
        <f t="shared" si="3"/>
        <v>1.8258000000000001</v>
      </c>
      <c r="O13" s="64">
        <f t="shared" si="3"/>
        <v>33.938400000000001</v>
      </c>
    </row>
    <row r="15" spans="1:15" x14ac:dyDescent="0.3">
      <c r="K15" s="64" t="s">
        <v>278</v>
      </c>
      <c r="L15" s="64" t="s">
        <v>276</v>
      </c>
      <c r="M15" s="64" t="s">
        <v>277</v>
      </c>
      <c r="N15" s="64" t="s">
        <v>279</v>
      </c>
    </row>
    <row r="16" spans="1:15" x14ac:dyDescent="0.3">
      <c r="K16" s="64">
        <v>4.4000000000000004</v>
      </c>
      <c r="L16" s="64">
        <v>6</v>
      </c>
      <c r="M16" s="80">
        <f>$K$16/L16</f>
        <v>0.73333333333333339</v>
      </c>
      <c r="N16" s="81">
        <f>AVERAGE(M16:M18)</f>
        <v>0.48888888888888893</v>
      </c>
    </row>
    <row r="17" spans="11:14" x14ac:dyDescent="0.3">
      <c r="K17" s="64"/>
      <c r="L17" s="64">
        <v>10.5</v>
      </c>
      <c r="M17" s="80">
        <f>$K$16/L17</f>
        <v>0.41904761904761906</v>
      </c>
      <c r="N17" s="64"/>
    </row>
    <row r="18" spans="11:14" x14ac:dyDescent="0.3">
      <c r="K18" s="64"/>
      <c r="L18" s="64">
        <v>14</v>
      </c>
      <c r="M18" s="80">
        <f>$K$16/L18</f>
        <v>0.31428571428571433</v>
      </c>
      <c r="N18" s="64"/>
    </row>
  </sheetData>
  <sheetProtection algorithmName="SHA-512" hashValue="E+LH25rwAXVyjtvjULiz0wgEudD5qFhNo4vLHLjYwHtYh/RiWfhI8HrxDzFypTGQO/UfpopC3gxdrf4OugwoPg==" saltValue="eFl6Bi5cvwpFGpBSk/DG0g==" spinCount="100000" sheet="1" objects="1" scenarios="1"/>
  <mergeCells count="4">
    <mergeCell ref="L6:O6"/>
    <mergeCell ref="L11:O11"/>
    <mergeCell ref="A1:H1"/>
    <mergeCell ref="A8:H8"/>
  </mergeCells>
  <phoneticPr fontId="4" type="noConversion"/>
  <pageMargins left="0.7" right="0.7" top="0.75" bottom="0.75" header="0.3" footer="0.3"/>
  <ignoredErrors>
    <ignoredError sqref="C4:F4 D5:F5 C6:F6 C5" calculatedColumn="1"/>
  </ignoredErrors>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4CAB2-7FE1-4EC8-A560-A8DC84A497E5}">
  <sheetPr>
    <tabColor rgb="FFFF0000"/>
  </sheetPr>
  <dimension ref="A1:Q160"/>
  <sheetViews>
    <sheetView workbookViewId="0">
      <selection activeCell="N146" sqref="N146"/>
    </sheetView>
  </sheetViews>
  <sheetFormatPr baseColWidth="10" defaultRowHeight="14.4" x14ac:dyDescent="0.3"/>
  <cols>
    <col min="3" max="3" width="16.44140625" customWidth="1"/>
    <col min="4" max="4" width="12" customWidth="1"/>
    <col min="5" max="5" width="26.33203125" customWidth="1"/>
    <col min="7" max="7" width="11.33203125" customWidth="1"/>
    <col min="8" max="8" width="16.44140625" customWidth="1"/>
    <col min="9" max="9" width="13" customWidth="1"/>
  </cols>
  <sheetData>
    <row r="1" spans="1:17" ht="18" x14ac:dyDescent="0.3">
      <c r="A1" s="274" t="s">
        <v>161</v>
      </c>
      <c r="B1" s="274"/>
      <c r="C1" s="274"/>
      <c r="D1" s="274"/>
      <c r="E1" s="274"/>
      <c r="F1" s="274"/>
      <c r="G1" s="274"/>
      <c r="H1" s="274"/>
      <c r="I1" s="274"/>
      <c r="J1" s="274"/>
    </row>
    <row r="2" spans="1:17" ht="15.75" customHeight="1" x14ac:dyDescent="0.3">
      <c r="A2" s="45"/>
      <c r="B2" s="45"/>
      <c r="C2" s="45"/>
      <c r="D2" s="45"/>
      <c r="E2" s="45"/>
      <c r="F2" s="45"/>
      <c r="G2" s="45"/>
      <c r="H2" s="45"/>
      <c r="I2" s="45"/>
      <c r="J2" s="45"/>
    </row>
    <row r="3" spans="1:17" ht="18" x14ac:dyDescent="0.35">
      <c r="A3" s="46"/>
      <c r="B3" s="271" t="s">
        <v>162</v>
      </c>
      <c r="C3" s="271"/>
      <c r="D3" s="271"/>
      <c r="E3" s="271"/>
      <c r="F3" s="271"/>
      <c r="G3" s="271"/>
      <c r="H3" s="271"/>
      <c r="I3" s="271"/>
      <c r="J3" s="46"/>
      <c r="K3" s="44"/>
    </row>
    <row r="4" spans="1:17" ht="18" x14ac:dyDescent="0.35">
      <c r="A4" s="46"/>
      <c r="B4" s="47"/>
      <c r="C4" s="47"/>
      <c r="D4" s="47"/>
      <c r="E4" s="47"/>
      <c r="F4" s="47"/>
      <c r="G4" s="47"/>
      <c r="H4" s="47"/>
      <c r="I4" s="47"/>
      <c r="J4" s="46"/>
      <c r="K4" s="44"/>
    </row>
    <row r="5" spans="1:17" s="4" customFormat="1" ht="46.8" x14ac:dyDescent="0.3">
      <c r="A5" s="48"/>
      <c r="B5" s="43" t="s">
        <v>318</v>
      </c>
      <c r="C5" s="43" t="s">
        <v>121</v>
      </c>
      <c r="D5" s="43" t="s">
        <v>122</v>
      </c>
      <c r="E5" s="43" t="s">
        <v>123</v>
      </c>
      <c r="F5" s="43" t="s">
        <v>124</v>
      </c>
      <c r="G5" s="43" t="s">
        <v>272</v>
      </c>
      <c r="H5" s="43" t="s">
        <v>125</v>
      </c>
      <c r="I5" s="43" t="s">
        <v>126</v>
      </c>
      <c r="J5" s="48"/>
      <c r="Q5" s="62"/>
    </row>
    <row r="6" spans="1:17" x14ac:dyDescent="0.3">
      <c r="A6" s="46"/>
      <c r="B6" s="32" t="s">
        <v>54</v>
      </c>
      <c r="C6" s="32" t="s">
        <v>141</v>
      </c>
      <c r="D6" s="32" t="s">
        <v>137</v>
      </c>
      <c r="E6" s="32" t="s">
        <v>55</v>
      </c>
      <c r="F6" s="32">
        <v>104</v>
      </c>
      <c r="G6" s="32">
        <f>Tableau8[[#This Row],[TEU]]*6</f>
        <v>624</v>
      </c>
      <c r="H6" s="33"/>
      <c r="I6" s="32">
        <v>1</v>
      </c>
      <c r="J6" s="46"/>
    </row>
    <row r="7" spans="1:17" x14ac:dyDescent="0.3">
      <c r="A7" s="46"/>
      <c r="B7" s="34" t="s">
        <v>54</v>
      </c>
      <c r="C7" s="34" t="s">
        <v>141</v>
      </c>
      <c r="D7" s="34" t="s">
        <v>128</v>
      </c>
      <c r="E7" s="34" t="s">
        <v>55</v>
      </c>
      <c r="F7" s="34">
        <v>104</v>
      </c>
      <c r="G7" s="49">
        <f>Tableau8[[#This Row],[TEU]]*6</f>
        <v>624</v>
      </c>
      <c r="H7" s="35"/>
      <c r="I7" s="34">
        <v>1</v>
      </c>
      <c r="J7" s="46"/>
    </row>
    <row r="8" spans="1:17" x14ac:dyDescent="0.3">
      <c r="A8" s="46"/>
      <c r="B8" s="32" t="s">
        <v>54</v>
      </c>
      <c r="C8" s="32" t="s">
        <v>136</v>
      </c>
      <c r="D8" s="32" t="s">
        <v>137</v>
      </c>
      <c r="E8" s="32" t="s">
        <v>55</v>
      </c>
      <c r="F8" s="32">
        <v>104</v>
      </c>
      <c r="G8" s="32">
        <f>Tableau8[[#This Row],[TEU]]*10.5</f>
        <v>1092</v>
      </c>
      <c r="H8" s="33"/>
      <c r="I8" s="32">
        <v>1</v>
      </c>
      <c r="J8" s="46"/>
    </row>
    <row r="9" spans="1:17" x14ac:dyDescent="0.3">
      <c r="A9" s="46"/>
      <c r="B9" s="34" t="s">
        <v>54</v>
      </c>
      <c r="C9" s="34" t="s">
        <v>136</v>
      </c>
      <c r="D9" s="34" t="s">
        <v>128</v>
      </c>
      <c r="E9" s="34" t="s">
        <v>55</v>
      </c>
      <c r="F9" s="34">
        <v>104</v>
      </c>
      <c r="G9" s="34">
        <f>Tableau8[[#This Row],[TEU]]*10.5</f>
        <v>1092</v>
      </c>
      <c r="H9" s="35"/>
      <c r="I9" s="34">
        <v>1</v>
      </c>
      <c r="J9" s="46"/>
    </row>
    <row r="10" spans="1:17" x14ac:dyDescent="0.3">
      <c r="A10" s="46"/>
      <c r="B10" s="32" t="s">
        <v>54</v>
      </c>
      <c r="C10" s="32" t="s">
        <v>127</v>
      </c>
      <c r="D10" s="32" t="s">
        <v>137</v>
      </c>
      <c r="E10" s="32" t="s">
        <v>55</v>
      </c>
      <c r="F10" s="32">
        <v>104</v>
      </c>
      <c r="G10" s="32">
        <f>Tableau8[[#This Row],[TEU]]*14</f>
        <v>1456</v>
      </c>
      <c r="H10" s="33"/>
      <c r="I10" s="32">
        <v>1</v>
      </c>
      <c r="J10" s="46"/>
    </row>
    <row r="11" spans="1:17" x14ac:dyDescent="0.3">
      <c r="A11" s="46"/>
      <c r="B11" s="34" t="s">
        <v>54</v>
      </c>
      <c r="C11" s="34" t="s">
        <v>127</v>
      </c>
      <c r="D11" s="34" t="s">
        <v>128</v>
      </c>
      <c r="E11" s="34" t="s">
        <v>55</v>
      </c>
      <c r="F11" s="34">
        <v>104</v>
      </c>
      <c r="G11" s="34">
        <f>Tableau8[[#This Row],[TEU]]*14</f>
        <v>1456</v>
      </c>
      <c r="H11" s="35"/>
      <c r="I11" s="34">
        <v>1</v>
      </c>
      <c r="J11" s="46"/>
    </row>
    <row r="12" spans="1:17" x14ac:dyDescent="0.3">
      <c r="A12" s="46"/>
      <c r="B12" s="32" t="s">
        <v>54</v>
      </c>
      <c r="C12" s="32" t="s">
        <v>141</v>
      </c>
      <c r="D12" s="32" t="s">
        <v>137</v>
      </c>
      <c r="E12" s="32" t="s">
        <v>58</v>
      </c>
      <c r="F12" s="32">
        <v>156</v>
      </c>
      <c r="G12" s="32">
        <f>Tableau8[[#This Row],[TEU]]*6</f>
        <v>936</v>
      </c>
      <c r="H12" s="33"/>
      <c r="I12" s="32">
        <v>1</v>
      </c>
      <c r="J12" s="46"/>
    </row>
    <row r="13" spans="1:17" x14ac:dyDescent="0.3">
      <c r="A13" s="46"/>
      <c r="B13" s="34" t="s">
        <v>54</v>
      </c>
      <c r="C13" s="34" t="s">
        <v>141</v>
      </c>
      <c r="D13" s="34" t="s">
        <v>128</v>
      </c>
      <c r="E13" s="34" t="s">
        <v>58</v>
      </c>
      <c r="F13" s="34">
        <v>156</v>
      </c>
      <c r="G13" s="34">
        <f>Tableau8[[#This Row],[TEU]]*6</f>
        <v>936</v>
      </c>
      <c r="H13" s="35"/>
      <c r="I13" s="34">
        <v>1</v>
      </c>
      <c r="J13" s="46"/>
    </row>
    <row r="14" spans="1:17" x14ac:dyDescent="0.3">
      <c r="A14" s="46"/>
      <c r="B14" s="32" t="s">
        <v>54</v>
      </c>
      <c r="C14" s="32" t="s">
        <v>136</v>
      </c>
      <c r="D14" s="32" t="s">
        <v>137</v>
      </c>
      <c r="E14" s="32" t="s">
        <v>58</v>
      </c>
      <c r="F14" s="32">
        <v>156</v>
      </c>
      <c r="G14" s="32">
        <f>Tableau8[[#This Row],[TEU]]*10.5</f>
        <v>1638</v>
      </c>
      <c r="H14" s="35"/>
      <c r="I14" s="32">
        <v>1</v>
      </c>
      <c r="J14" s="46"/>
    </row>
    <row r="15" spans="1:17" x14ac:dyDescent="0.3">
      <c r="A15" s="46"/>
      <c r="B15" s="34" t="s">
        <v>54</v>
      </c>
      <c r="C15" s="34" t="s">
        <v>136</v>
      </c>
      <c r="D15" s="34" t="s">
        <v>128</v>
      </c>
      <c r="E15" s="34" t="s">
        <v>58</v>
      </c>
      <c r="F15" s="34">
        <v>156</v>
      </c>
      <c r="G15" s="34">
        <f>Tableau8[[#This Row],[TEU]]*10.5</f>
        <v>1638</v>
      </c>
      <c r="H15" s="35"/>
      <c r="I15" s="34">
        <v>1</v>
      </c>
      <c r="J15" s="46"/>
    </row>
    <row r="16" spans="1:17" x14ac:dyDescent="0.3">
      <c r="A16" s="46"/>
      <c r="B16" s="32" t="s">
        <v>54</v>
      </c>
      <c r="C16" s="32" t="s">
        <v>127</v>
      </c>
      <c r="D16" s="32" t="s">
        <v>137</v>
      </c>
      <c r="E16" s="32" t="s">
        <v>58</v>
      </c>
      <c r="F16" s="32">
        <v>156</v>
      </c>
      <c r="G16" s="32">
        <f>Tableau8[[#This Row],[TEU]]*14</f>
        <v>2184</v>
      </c>
      <c r="H16" s="35"/>
      <c r="I16" s="32">
        <v>1</v>
      </c>
      <c r="J16" s="46"/>
    </row>
    <row r="17" spans="1:10" x14ac:dyDescent="0.3">
      <c r="A17" s="46"/>
      <c r="B17" s="34" t="s">
        <v>54</v>
      </c>
      <c r="C17" s="34" t="s">
        <v>127</v>
      </c>
      <c r="D17" s="34" t="s">
        <v>128</v>
      </c>
      <c r="E17" s="34" t="s">
        <v>58</v>
      </c>
      <c r="F17" s="34">
        <v>156</v>
      </c>
      <c r="G17" s="34">
        <f>Tableau8[[#This Row],[TEU]]*14</f>
        <v>2184</v>
      </c>
      <c r="H17" s="35"/>
      <c r="I17" s="34">
        <v>1</v>
      </c>
      <c r="J17" s="46"/>
    </row>
    <row r="18" spans="1:10" x14ac:dyDescent="0.3">
      <c r="A18" s="46"/>
      <c r="B18" s="32" t="s">
        <v>54</v>
      </c>
      <c r="C18" s="32" t="s">
        <v>141</v>
      </c>
      <c r="D18" s="32" t="s">
        <v>137</v>
      </c>
      <c r="E18" s="32" t="s">
        <v>59</v>
      </c>
      <c r="F18" s="32">
        <v>192</v>
      </c>
      <c r="G18" s="34">
        <f>Tableau8[[#This Row],[TEU]]*6</f>
        <v>1152</v>
      </c>
      <c r="H18" s="35"/>
      <c r="I18" s="32">
        <v>1</v>
      </c>
      <c r="J18" s="46"/>
    </row>
    <row r="19" spans="1:10" x14ac:dyDescent="0.3">
      <c r="A19" s="46"/>
      <c r="B19" s="34" t="s">
        <v>54</v>
      </c>
      <c r="C19" s="34" t="s">
        <v>141</v>
      </c>
      <c r="D19" s="34" t="s">
        <v>128</v>
      </c>
      <c r="E19" s="34" t="s">
        <v>59</v>
      </c>
      <c r="F19" s="34">
        <v>192</v>
      </c>
      <c r="G19" s="34">
        <f>Tableau8[[#This Row],[TEU]]*6</f>
        <v>1152</v>
      </c>
      <c r="H19" s="35"/>
      <c r="I19" s="34">
        <v>1</v>
      </c>
      <c r="J19" s="46"/>
    </row>
    <row r="20" spans="1:10" x14ac:dyDescent="0.3">
      <c r="A20" s="46"/>
      <c r="B20" s="32" t="s">
        <v>54</v>
      </c>
      <c r="C20" s="32" t="s">
        <v>136</v>
      </c>
      <c r="D20" s="32" t="s">
        <v>137</v>
      </c>
      <c r="E20" s="32" t="s">
        <v>59</v>
      </c>
      <c r="F20" s="32">
        <v>192</v>
      </c>
      <c r="G20" s="32">
        <f>Tableau8[[#This Row],[TEU]]*10.5</f>
        <v>2016</v>
      </c>
      <c r="H20" s="35"/>
      <c r="I20" s="32">
        <v>1</v>
      </c>
      <c r="J20" s="46"/>
    </row>
    <row r="21" spans="1:10" x14ac:dyDescent="0.3">
      <c r="A21" s="46"/>
      <c r="B21" s="34" t="s">
        <v>54</v>
      </c>
      <c r="C21" s="34" t="s">
        <v>136</v>
      </c>
      <c r="D21" s="34" t="s">
        <v>128</v>
      </c>
      <c r="E21" s="34" t="s">
        <v>59</v>
      </c>
      <c r="F21" s="34">
        <v>192</v>
      </c>
      <c r="G21" s="34">
        <f>Tableau8[[#This Row],[TEU]]*10.5</f>
        <v>2016</v>
      </c>
      <c r="H21" s="35"/>
      <c r="I21" s="34">
        <v>1</v>
      </c>
      <c r="J21" s="46"/>
    </row>
    <row r="22" spans="1:10" x14ac:dyDescent="0.3">
      <c r="A22" s="46"/>
      <c r="B22" s="32" t="s">
        <v>54</v>
      </c>
      <c r="C22" s="32" t="s">
        <v>127</v>
      </c>
      <c r="D22" s="32" t="s">
        <v>137</v>
      </c>
      <c r="E22" s="32" t="s">
        <v>59</v>
      </c>
      <c r="F22" s="32">
        <v>192</v>
      </c>
      <c r="G22" s="32">
        <f>Tableau8[[#This Row],[TEU]]*14</f>
        <v>2688</v>
      </c>
      <c r="H22" s="35"/>
      <c r="I22" s="32">
        <v>1</v>
      </c>
      <c r="J22" s="46"/>
    </row>
    <row r="23" spans="1:10" x14ac:dyDescent="0.3">
      <c r="A23" s="46"/>
      <c r="B23" s="34" t="s">
        <v>54</v>
      </c>
      <c r="C23" s="34" t="s">
        <v>127</v>
      </c>
      <c r="D23" s="34" t="s">
        <v>128</v>
      </c>
      <c r="E23" s="34" t="s">
        <v>59</v>
      </c>
      <c r="F23" s="34">
        <v>192</v>
      </c>
      <c r="G23" s="34">
        <f>Tableau8[[#This Row],[TEU]]*14</f>
        <v>2688</v>
      </c>
      <c r="H23" s="35"/>
      <c r="I23" s="34">
        <v>1</v>
      </c>
      <c r="J23" s="46"/>
    </row>
    <row r="24" spans="1:10" x14ac:dyDescent="0.3">
      <c r="A24" s="46"/>
      <c r="B24" s="32" t="s">
        <v>54</v>
      </c>
      <c r="C24" s="32" t="s">
        <v>141</v>
      </c>
      <c r="D24" s="32" t="s">
        <v>137</v>
      </c>
      <c r="E24" s="32" t="s">
        <v>60</v>
      </c>
      <c r="F24" s="32">
        <v>288</v>
      </c>
      <c r="G24" s="34">
        <f>Tableau8[[#This Row],[TEU]]*6</f>
        <v>1728</v>
      </c>
      <c r="H24" s="35"/>
      <c r="I24" s="32">
        <v>1</v>
      </c>
      <c r="J24" s="46"/>
    </row>
    <row r="25" spans="1:10" x14ac:dyDescent="0.3">
      <c r="A25" s="46"/>
      <c r="B25" s="34" t="s">
        <v>54</v>
      </c>
      <c r="C25" s="34" t="s">
        <v>141</v>
      </c>
      <c r="D25" s="34" t="s">
        <v>128</v>
      </c>
      <c r="E25" s="34" t="s">
        <v>60</v>
      </c>
      <c r="F25" s="34">
        <v>288</v>
      </c>
      <c r="G25" s="34">
        <f>Tableau8[[#This Row],[TEU]]*6</f>
        <v>1728</v>
      </c>
      <c r="H25" s="35"/>
      <c r="I25" s="34">
        <v>1</v>
      </c>
      <c r="J25" s="46"/>
    </row>
    <row r="26" spans="1:10" x14ac:dyDescent="0.3">
      <c r="A26" s="46"/>
      <c r="B26" s="32" t="s">
        <v>54</v>
      </c>
      <c r="C26" s="32" t="s">
        <v>136</v>
      </c>
      <c r="D26" s="32" t="s">
        <v>137</v>
      </c>
      <c r="E26" s="32" t="s">
        <v>60</v>
      </c>
      <c r="F26" s="32">
        <v>288</v>
      </c>
      <c r="G26" s="32">
        <f>Tableau8[[#This Row],[TEU]]*10.5</f>
        <v>3024</v>
      </c>
      <c r="H26" s="35"/>
      <c r="I26" s="32">
        <v>1</v>
      </c>
      <c r="J26" s="46"/>
    </row>
    <row r="27" spans="1:10" x14ac:dyDescent="0.3">
      <c r="A27" s="46"/>
      <c r="B27" s="34" t="s">
        <v>54</v>
      </c>
      <c r="C27" s="34" t="s">
        <v>136</v>
      </c>
      <c r="D27" s="34" t="s">
        <v>128</v>
      </c>
      <c r="E27" s="34" t="s">
        <v>60</v>
      </c>
      <c r="F27" s="34">
        <v>288</v>
      </c>
      <c r="G27" s="34">
        <f>Tableau8[[#This Row],[TEU]]*10.5</f>
        <v>3024</v>
      </c>
      <c r="H27" s="35"/>
      <c r="I27" s="34">
        <v>1</v>
      </c>
      <c r="J27" s="46"/>
    </row>
    <row r="28" spans="1:10" x14ac:dyDescent="0.3">
      <c r="A28" s="46"/>
      <c r="B28" s="32" t="s">
        <v>54</v>
      </c>
      <c r="C28" s="32" t="s">
        <v>127</v>
      </c>
      <c r="D28" s="32" t="s">
        <v>137</v>
      </c>
      <c r="E28" s="32" t="s">
        <v>60</v>
      </c>
      <c r="F28" s="32">
        <v>288</v>
      </c>
      <c r="G28" s="32">
        <f>Tableau8[[#This Row],[TEU]]*14</f>
        <v>4032</v>
      </c>
      <c r="H28" s="35"/>
      <c r="I28" s="32">
        <v>1</v>
      </c>
      <c r="J28" s="46"/>
    </row>
    <row r="29" spans="1:10" x14ac:dyDescent="0.3">
      <c r="A29" s="46"/>
      <c r="B29" s="34" t="s">
        <v>54</v>
      </c>
      <c r="C29" s="34" t="s">
        <v>127</v>
      </c>
      <c r="D29" s="34" t="s">
        <v>128</v>
      </c>
      <c r="E29" s="34" t="s">
        <v>60</v>
      </c>
      <c r="F29" s="34">
        <v>288</v>
      </c>
      <c r="G29" s="34">
        <f>Tableau8[[#This Row],[TEU]]*14</f>
        <v>4032</v>
      </c>
      <c r="H29" s="35"/>
      <c r="I29" s="34">
        <v>1</v>
      </c>
      <c r="J29" s="46"/>
    </row>
    <row r="30" spans="1:10" ht="15" hidden="1" customHeight="1" x14ac:dyDescent="0.3">
      <c r="A30" s="46"/>
      <c r="B30" s="32" t="s">
        <v>118</v>
      </c>
      <c r="C30" s="32" t="s">
        <v>136</v>
      </c>
      <c r="D30" s="32" t="s">
        <v>128</v>
      </c>
      <c r="E30" s="32" t="s">
        <v>152</v>
      </c>
      <c r="F30" s="32"/>
      <c r="G30" s="36">
        <v>11000</v>
      </c>
      <c r="H30" s="32">
        <v>0.17</v>
      </c>
      <c r="I30" s="32">
        <v>0</v>
      </c>
      <c r="J30" s="46"/>
    </row>
    <row r="31" spans="1:10" ht="15" hidden="1" customHeight="1" x14ac:dyDescent="0.3">
      <c r="A31" s="46"/>
      <c r="B31" s="34" t="s">
        <v>118</v>
      </c>
      <c r="C31" s="34" t="s">
        <v>141</v>
      </c>
      <c r="D31" s="34" t="s">
        <v>128</v>
      </c>
      <c r="E31" s="34" t="s">
        <v>152</v>
      </c>
      <c r="F31" s="34"/>
      <c r="G31" s="37">
        <v>11000</v>
      </c>
      <c r="H31" s="38">
        <v>0.21</v>
      </c>
      <c r="I31" s="34">
        <v>0</v>
      </c>
      <c r="J31" s="46"/>
    </row>
    <row r="32" spans="1:10" ht="15" hidden="1" customHeight="1" x14ac:dyDescent="0.3">
      <c r="A32" s="46"/>
      <c r="B32" s="32" t="s">
        <v>118</v>
      </c>
      <c r="C32" s="32" t="s">
        <v>127</v>
      </c>
      <c r="D32" s="32" t="s">
        <v>128</v>
      </c>
      <c r="E32" s="32" t="s">
        <v>153</v>
      </c>
      <c r="F32" s="32"/>
      <c r="G32" s="36">
        <v>11000</v>
      </c>
      <c r="H32" s="39">
        <v>0.18</v>
      </c>
      <c r="I32" s="32">
        <v>0</v>
      </c>
      <c r="J32" s="46"/>
    </row>
    <row r="33" spans="1:10" ht="15" hidden="1" customHeight="1" x14ac:dyDescent="0.3">
      <c r="A33" s="46"/>
      <c r="B33" s="34" t="s">
        <v>118</v>
      </c>
      <c r="C33" s="34" t="s">
        <v>136</v>
      </c>
      <c r="D33" s="34" t="s">
        <v>128</v>
      </c>
      <c r="E33" s="34" t="s">
        <v>154</v>
      </c>
      <c r="F33" s="34"/>
      <c r="G33" s="37">
        <v>16000</v>
      </c>
      <c r="H33" s="34">
        <v>0.23</v>
      </c>
      <c r="I33" s="34">
        <v>0</v>
      </c>
      <c r="J33" s="46"/>
    </row>
    <row r="34" spans="1:10" ht="15" hidden="1" customHeight="1" x14ac:dyDescent="0.3">
      <c r="A34" s="46"/>
      <c r="B34" s="32" t="s">
        <v>118</v>
      </c>
      <c r="C34" s="32" t="s">
        <v>141</v>
      </c>
      <c r="D34" s="32" t="s">
        <v>128</v>
      </c>
      <c r="E34" s="32" t="s">
        <v>155</v>
      </c>
      <c r="F34" s="32"/>
      <c r="G34" s="36">
        <v>16000</v>
      </c>
      <c r="H34" s="39">
        <v>0.37</v>
      </c>
      <c r="I34" s="32">
        <v>0</v>
      </c>
      <c r="J34" s="46"/>
    </row>
    <row r="35" spans="1:10" ht="15" hidden="1" customHeight="1" x14ac:dyDescent="0.3">
      <c r="A35" s="46"/>
      <c r="B35" s="34" t="s">
        <v>118</v>
      </c>
      <c r="C35" s="34" t="s">
        <v>127</v>
      </c>
      <c r="D35" s="34" t="s">
        <v>128</v>
      </c>
      <c r="E35" s="34" t="s">
        <v>155</v>
      </c>
      <c r="F35" s="34"/>
      <c r="G35" s="37">
        <v>16000</v>
      </c>
      <c r="H35" s="38">
        <v>0.21</v>
      </c>
      <c r="I35" s="34">
        <v>0</v>
      </c>
      <c r="J35" s="46"/>
    </row>
    <row r="36" spans="1:10" hidden="1" x14ac:dyDescent="0.3">
      <c r="A36" s="46"/>
      <c r="B36" s="32" t="s">
        <v>118</v>
      </c>
      <c r="C36" s="32" t="s">
        <v>127</v>
      </c>
      <c r="D36" s="32" t="s">
        <v>137</v>
      </c>
      <c r="E36" s="32" t="s">
        <v>116</v>
      </c>
      <c r="F36" s="32"/>
      <c r="G36" s="36">
        <v>600</v>
      </c>
      <c r="H36" s="39">
        <v>0.37</v>
      </c>
      <c r="I36" s="32">
        <v>1</v>
      </c>
      <c r="J36" s="46"/>
    </row>
    <row r="37" spans="1:10" hidden="1" x14ac:dyDescent="0.3">
      <c r="A37" s="46"/>
      <c r="B37" s="34" t="s">
        <v>118</v>
      </c>
      <c r="C37" s="34" t="s">
        <v>127</v>
      </c>
      <c r="D37" s="34" t="s">
        <v>128</v>
      </c>
      <c r="E37" s="34" t="s">
        <v>116</v>
      </c>
      <c r="F37" s="34"/>
      <c r="G37" s="37">
        <v>600</v>
      </c>
      <c r="H37" s="38">
        <v>0.45</v>
      </c>
      <c r="I37" s="34">
        <v>1</v>
      </c>
      <c r="J37" s="46"/>
    </row>
    <row r="38" spans="1:10" hidden="1" x14ac:dyDescent="0.3">
      <c r="A38" s="46"/>
      <c r="B38" s="32" t="s">
        <v>118</v>
      </c>
      <c r="C38" s="32" t="s">
        <v>141</v>
      </c>
      <c r="D38" s="32" t="s">
        <v>137</v>
      </c>
      <c r="E38" s="32" t="s">
        <v>116</v>
      </c>
      <c r="F38" s="32"/>
      <c r="G38" s="36">
        <v>600</v>
      </c>
      <c r="H38" s="39">
        <v>0.46</v>
      </c>
      <c r="I38" s="32">
        <v>1</v>
      </c>
      <c r="J38" s="46"/>
    </row>
    <row r="39" spans="1:10" hidden="1" x14ac:dyDescent="0.3">
      <c r="A39" s="46"/>
      <c r="B39" s="34" t="s">
        <v>118</v>
      </c>
      <c r="C39" s="34" t="s">
        <v>141</v>
      </c>
      <c r="D39" s="34" t="s">
        <v>128</v>
      </c>
      <c r="E39" s="34" t="s">
        <v>116</v>
      </c>
      <c r="F39" s="34"/>
      <c r="G39" s="37">
        <v>600</v>
      </c>
      <c r="H39" s="38">
        <v>0.56999999999999995</v>
      </c>
      <c r="I39" s="34">
        <v>1</v>
      </c>
      <c r="J39" s="46"/>
    </row>
    <row r="40" spans="1:10" hidden="1" x14ac:dyDescent="0.3">
      <c r="A40" s="46"/>
      <c r="B40" s="32" t="s">
        <v>118</v>
      </c>
      <c r="C40" s="32" t="s">
        <v>136</v>
      </c>
      <c r="D40" s="32" t="s">
        <v>137</v>
      </c>
      <c r="E40" s="32" t="s">
        <v>116</v>
      </c>
      <c r="F40" s="32"/>
      <c r="G40" s="36">
        <v>600</v>
      </c>
      <c r="H40" s="32">
        <v>0.37</v>
      </c>
      <c r="I40" s="32">
        <v>1</v>
      </c>
      <c r="J40" s="46"/>
    </row>
    <row r="41" spans="1:10" hidden="1" x14ac:dyDescent="0.3">
      <c r="A41" s="46"/>
      <c r="B41" s="34" t="s">
        <v>118</v>
      </c>
      <c r="C41" s="34" t="s">
        <v>136</v>
      </c>
      <c r="D41" s="34" t="s">
        <v>128</v>
      </c>
      <c r="E41" s="34" t="s">
        <v>116</v>
      </c>
      <c r="F41" s="34"/>
      <c r="G41" s="37">
        <v>600</v>
      </c>
      <c r="H41" s="34">
        <v>0.45</v>
      </c>
      <c r="I41" s="34">
        <v>1</v>
      </c>
      <c r="J41" s="46"/>
    </row>
    <row r="42" spans="1:10" hidden="1" x14ac:dyDescent="0.3">
      <c r="A42" s="46"/>
      <c r="B42" s="32" t="s">
        <v>118</v>
      </c>
      <c r="C42" s="32" t="s">
        <v>141</v>
      </c>
      <c r="D42" s="32" t="s">
        <v>137</v>
      </c>
      <c r="E42" s="32" t="s">
        <v>103</v>
      </c>
      <c r="F42" s="32"/>
      <c r="G42" s="36">
        <v>5000</v>
      </c>
      <c r="H42" s="33"/>
      <c r="I42" s="32">
        <v>1</v>
      </c>
      <c r="J42" s="46"/>
    </row>
    <row r="43" spans="1:10" hidden="1" x14ac:dyDescent="0.3">
      <c r="A43" s="46"/>
      <c r="B43" s="34" t="s">
        <v>118</v>
      </c>
      <c r="C43" s="34" t="s">
        <v>136</v>
      </c>
      <c r="D43" s="34" t="s">
        <v>137</v>
      </c>
      <c r="E43" s="34" t="s">
        <v>103</v>
      </c>
      <c r="F43" s="34"/>
      <c r="G43" s="37">
        <v>5000</v>
      </c>
      <c r="H43" s="35"/>
      <c r="I43" s="34">
        <v>1</v>
      </c>
      <c r="J43" s="46"/>
    </row>
    <row r="44" spans="1:10" hidden="1" x14ac:dyDescent="0.3">
      <c r="A44" s="46"/>
      <c r="B44" s="32" t="s">
        <v>118</v>
      </c>
      <c r="C44" s="32" t="s">
        <v>127</v>
      </c>
      <c r="D44" s="32" t="s">
        <v>137</v>
      </c>
      <c r="E44" s="32" t="s">
        <v>103</v>
      </c>
      <c r="F44" s="32"/>
      <c r="G44" s="36">
        <v>5000</v>
      </c>
      <c r="H44" s="39"/>
      <c r="I44" s="32">
        <v>1</v>
      </c>
      <c r="J44" s="46"/>
    </row>
    <row r="45" spans="1:10" hidden="1" x14ac:dyDescent="0.3">
      <c r="A45" s="46"/>
      <c r="B45" s="34" t="s">
        <v>118</v>
      </c>
      <c r="C45" s="34" t="s">
        <v>141</v>
      </c>
      <c r="D45" s="34" t="s">
        <v>128</v>
      </c>
      <c r="E45" s="34" t="s">
        <v>103</v>
      </c>
      <c r="F45" s="34"/>
      <c r="G45" s="37">
        <v>5000</v>
      </c>
      <c r="H45" s="38">
        <v>0.4</v>
      </c>
      <c r="I45" s="34">
        <v>1</v>
      </c>
      <c r="J45" s="46"/>
    </row>
    <row r="46" spans="1:10" hidden="1" x14ac:dyDescent="0.3">
      <c r="A46" s="46"/>
      <c r="B46" s="32" t="s">
        <v>118</v>
      </c>
      <c r="C46" s="32" t="s">
        <v>136</v>
      </c>
      <c r="D46" s="32" t="s">
        <v>128</v>
      </c>
      <c r="E46" s="32" t="s">
        <v>103</v>
      </c>
      <c r="F46" s="32"/>
      <c r="G46" s="36">
        <v>5000</v>
      </c>
      <c r="H46" s="39">
        <v>0.33</v>
      </c>
      <c r="I46" s="32">
        <v>1</v>
      </c>
      <c r="J46" s="46"/>
    </row>
    <row r="47" spans="1:10" hidden="1" x14ac:dyDescent="0.3">
      <c r="A47" s="46"/>
      <c r="B47" s="34" t="s">
        <v>118</v>
      </c>
      <c r="C47" s="34" t="s">
        <v>127</v>
      </c>
      <c r="D47" s="34" t="s">
        <v>128</v>
      </c>
      <c r="E47" s="34" t="s">
        <v>103</v>
      </c>
      <c r="F47" s="34"/>
      <c r="G47" s="37">
        <v>5000</v>
      </c>
      <c r="H47" s="38">
        <v>0.34</v>
      </c>
      <c r="I47" s="34">
        <v>1</v>
      </c>
      <c r="J47" s="46"/>
    </row>
    <row r="48" spans="1:10" x14ac:dyDescent="0.3">
      <c r="A48" s="46"/>
      <c r="B48" s="32" t="s">
        <v>54</v>
      </c>
      <c r="C48" s="32" t="s">
        <v>141</v>
      </c>
      <c r="D48" s="32" t="s">
        <v>128</v>
      </c>
      <c r="E48" s="32" t="s">
        <v>129</v>
      </c>
      <c r="F48" s="32">
        <v>348</v>
      </c>
      <c r="G48" s="34">
        <f>Tableau8[[#This Row],[TEU]]*6</f>
        <v>2088</v>
      </c>
      <c r="H48" s="32">
        <v>0.45</v>
      </c>
      <c r="I48" s="32">
        <v>1</v>
      </c>
      <c r="J48" s="46"/>
    </row>
    <row r="49" spans="1:10" x14ac:dyDescent="0.3">
      <c r="A49" s="46"/>
      <c r="B49" s="34" t="s">
        <v>54</v>
      </c>
      <c r="C49" s="34" t="s">
        <v>136</v>
      </c>
      <c r="D49" s="34" t="s">
        <v>128</v>
      </c>
      <c r="E49" s="34" t="s">
        <v>129</v>
      </c>
      <c r="F49" s="34">
        <v>348</v>
      </c>
      <c r="G49" s="32">
        <f>Tableau8[[#This Row],[TEU]]*10.5</f>
        <v>3654</v>
      </c>
      <c r="H49" s="34">
        <v>0.31</v>
      </c>
      <c r="I49" s="34">
        <v>1</v>
      </c>
      <c r="J49" s="46"/>
    </row>
    <row r="50" spans="1:10" x14ac:dyDescent="0.3">
      <c r="A50" s="46"/>
      <c r="B50" s="32" t="s">
        <v>54</v>
      </c>
      <c r="C50" s="32" t="s">
        <v>127</v>
      </c>
      <c r="D50" s="32" t="s">
        <v>128</v>
      </c>
      <c r="E50" s="32" t="s">
        <v>129</v>
      </c>
      <c r="F50" s="32">
        <v>348</v>
      </c>
      <c r="G50" s="32">
        <f>Tableau8[[#This Row],[TEU]]*14</f>
        <v>4872</v>
      </c>
      <c r="H50" s="32">
        <v>0.25</v>
      </c>
      <c r="I50" s="32">
        <v>1</v>
      </c>
      <c r="J50" s="46"/>
    </row>
    <row r="51" spans="1:10" hidden="1" x14ac:dyDescent="0.3">
      <c r="A51" s="46"/>
      <c r="B51" s="34" t="s">
        <v>118</v>
      </c>
      <c r="C51" s="34" t="s">
        <v>141</v>
      </c>
      <c r="D51" s="34" t="s">
        <v>137</v>
      </c>
      <c r="E51" s="34" t="s">
        <v>117</v>
      </c>
      <c r="F51" s="34"/>
      <c r="G51" s="37">
        <v>1000</v>
      </c>
      <c r="H51" s="35"/>
      <c r="I51" s="34">
        <v>1</v>
      </c>
      <c r="J51" s="46"/>
    </row>
    <row r="52" spans="1:10" hidden="1" x14ac:dyDescent="0.3">
      <c r="A52" s="46"/>
      <c r="B52" s="32" t="s">
        <v>118</v>
      </c>
      <c r="C52" s="32" t="s">
        <v>141</v>
      </c>
      <c r="D52" s="32" t="s">
        <v>128</v>
      </c>
      <c r="E52" s="32" t="s">
        <v>117</v>
      </c>
      <c r="F52" s="32"/>
      <c r="G52" s="36">
        <v>1000</v>
      </c>
      <c r="H52" s="33"/>
      <c r="I52" s="32">
        <v>1</v>
      </c>
      <c r="J52" s="46"/>
    </row>
    <row r="53" spans="1:10" hidden="1" x14ac:dyDescent="0.3">
      <c r="A53" s="46"/>
      <c r="B53" s="34" t="s">
        <v>118</v>
      </c>
      <c r="C53" s="34" t="s">
        <v>127</v>
      </c>
      <c r="D53" s="34" t="s">
        <v>137</v>
      </c>
      <c r="E53" s="34" t="s">
        <v>117</v>
      </c>
      <c r="F53" s="34"/>
      <c r="G53" s="37">
        <v>1000</v>
      </c>
      <c r="H53" s="38"/>
      <c r="I53" s="34">
        <v>1</v>
      </c>
      <c r="J53" s="46"/>
    </row>
    <row r="54" spans="1:10" hidden="1" x14ac:dyDescent="0.3">
      <c r="A54" s="46"/>
      <c r="B54" s="32" t="s">
        <v>118</v>
      </c>
      <c r="C54" s="32" t="s">
        <v>127</v>
      </c>
      <c r="D54" s="32" t="s">
        <v>128</v>
      </c>
      <c r="E54" s="32" t="s">
        <v>117</v>
      </c>
      <c r="F54" s="32"/>
      <c r="G54" s="36">
        <v>1000</v>
      </c>
      <c r="H54" s="39"/>
      <c r="I54" s="32">
        <v>1</v>
      </c>
      <c r="J54" s="46"/>
    </row>
    <row r="55" spans="1:10" hidden="1" x14ac:dyDescent="0.3">
      <c r="A55" s="46"/>
      <c r="B55" s="34" t="s">
        <v>118</v>
      </c>
      <c r="C55" s="34" t="s">
        <v>136</v>
      </c>
      <c r="D55" s="34" t="s">
        <v>137</v>
      </c>
      <c r="E55" s="34" t="s">
        <v>117</v>
      </c>
      <c r="F55" s="34"/>
      <c r="G55" s="37">
        <v>1000</v>
      </c>
      <c r="H55" s="40">
        <v>0.28000000000000003</v>
      </c>
      <c r="I55" s="34">
        <v>1</v>
      </c>
      <c r="J55" s="46"/>
    </row>
    <row r="56" spans="1:10" hidden="1" x14ac:dyDescent="0.3">
      <c r="A56" s="46"/>
      <c r="B56" s="32" t="s">
        <v>118</v>
      </c>
      <c r="C56" s="32" t="s">
        <v>136</v>
      </c>
      <c r="D56" s="32" t="s">
        <v>128</v>
      </c>
      <c r="E56" s="32" t="s">
        <v>117</v>
      </c>
      <c r="F56" s="32"/>
      <c r="G56" s="36">
        <v>1000</v>
      </c>
      <c r="H56" s="33"/>
      <c r="I56" s="32">
        <v>1</v>
      </c>
      <c r="J56" s="46"/>
    </row>
    <row r="57" spans="1:10" x14ac:dyDescent="0.3">
      <c r="A57" s="46"/>
      <c r="B57" s="34" t="s">
        <v>54</v>
      </c>
      <c r="C57" s="34" t="s">
        <v>141</v>
      </c>
      <c r="D57" s="34" t="s">
        <v>137</v>
      </c>
      <c r="E57" s="34" t="s">
        <v>156</v>
      </c>
      <c r="F57" s="34">
        <v>160</v>
      </c>
      <c r="G57" s="34">
        <f>Tableau8[[#This Row],[TEU]]*6</f>
        <v>960</v>
      </c>
      <c r="H57" s="34">
        <v>0.53</v>
      </c>
      <c r="I57" s="34">
        <v>1</v>
      </c>
      <c r="J57" s="46"/>
    </row>
    <row r="58" spans="1:10" x14ac:dyDescent="0.3">
      <c r="A58" s="46"/>
      <c r="B58" s="32" t="s">
        <v>54</v>
      </c>
      <c r="C58" s="32" t="s">
        <v>141</v>
      </c>
      <c r="D58" s="32" t="s">
        <v>128</v>
      </c>
      <c r="E58" s="32" t="s">
        <v>156</v>
      </c>
      <c r="F58" s="32">
        <v>160</v>
      </c>
      <c r="G58" s="34">
        <f>Tableau8[[#This Row],[TEU]]*6</f>
        <v>960</v>
      </c>
      <c r="H58" s="32">
        <v>0.79</v>
      </c>
      <c r="I58" s="32">
        <v>1</v>
      </c>
      <c r="J58" s="46"/>
    </row>
    <row r="59" spans="1:10" x14ac:dyDescent="0.3">
      <c r="A59" s="46"/>
      <c r="B59" s="34" t="s">
        <v>54</v>
      </c>
      <c r="C59" s="34" t="s">
        <v>136</v>
      </c>
      <c r="D59" s="34" t="s">
        <v>137</v>
      </c>
      <c r="E59" s="34" t="s">
        <v>156</v>
      </c>
      <c r="F59" s="34">
        <v>160</v>
      </c>
      <c r="G59" s="34">
        <f>Tableau8[[#This Row],[TEU]]*10.5</f>
        <v>1680</v>
      </c>
      <c r="H59" s="34">
        <v>0.4</v>
      </c>
      <c r="I59" s="34">
        <v>1</v>
      </c>
      <c r="J59" s="46"/>
    </row>
    <row r="60" spans="1:10" x14ac:dyDescent="0.3">
      <c r="A60" s="46"/>
      <c r="B60" s="32" t="s">
        <v>54</v>
      </c>
      <c r="C60" s="32" t="s">
        <v>136</v>
      </c>
      <c r="D60" s="32" t="s">
        <v>128</v>
      </c>
      <c r="E60" s="32" t="s">
        <v>156</v>
      </c>
      <c r="F60" s="32">
        <v>160</v>
      </c>
      <c r="G60" s="32">
        <f>Tableau8[[#This Row],[TEU]]*10.5</f>
        <v>1680</v>
      </c>
      <c r="H60" s="32">
        <v>0.56000000000000005</v>
      </c>
      <c r="I60" s="32">
        <v>1</v>
      </c>
      <c r="J60" s="46"/>
    </row>
    <row r="61" spans="1:10" x14ac:dyDescent="0.3">
      <c r="A61" s="46"/>
      <c r="B61" s="34" t="s">
        <v>54</v>
      </c>
      <c r="C61" s="34" t="s">
        <v>127</v>
      </c>
      <c r="D61" s="34" t="s">
        <v>137</v>
      </c>
      <c r="E61" s="34" t="s">
        <v>130</v>
      </c>
      <c r="F61" s="34">
        <v>160</v>
      </c>
      <c r="G61" s="34">
        <f>Tableau8[[#This Row],[TEU]]*14</f>
        <v>2240</v>
      </c>
      <c r="H61" s="34">
        <v>0.36</v>
      </c>
      <c r="I61" s="34">
        <v>1</v>
      </c>
      <c r="J61" s="46"/>
    </row>
    <row r="62" spans="1:10" x14ac:dyDescent="0.3">
      <c r="A62" s="46"/>
      <c r="B62" s="32" t="s">
        <v>54</v>
      </c>
      <c r="C62" s="32" t="s">
        <v>127</v>
      </c>
      <c r="D62" s="32" t="s">
        <v>128</v>
      </c>
      <c r="E62" s="32" t="s">
        <v>130</v>
      </c>
      <c r="F62" s="32">
        <v>160</v>
      </c>
      <c r="G62" s="32">
        <f>Tableau8[[#This Row],[TEU]]*14</f>
        <v>2240</v>
      </c>
      <c r="H62" s="32">
        <v>0.48</v>
      </c>
      <c r="I62" s="32">
        <v>1</v>
      </c>
      <c r="J62" s="46"/>
    </row>
    <row r="63" spans="1:10" x14ac:dyDescent="0.3">
      <c r="A63" s="46"/>
      <c r="B63" s="34" t="s">
        <v>54</v>
      </c>
      <c r="C63" s="34" t="s">
        <v>141</v>
      </c>
      <c r="D63" s="34" t="s">
        <v>137</v>
      </c>
      <c r="E63" s="34" t="s">
        <v>131</v>
      </c>
      <c r="F63" s="34">
        <v>272</v>
      </c>
      <c r="G63" s="34">
        <f>Tableau8[[#This Row],[TEU]]*6</f>
        <v>1632</v>
      </c>
      <c r="H63" s="34">
        <v>0.36</v>
      </c>
      <c r="I63" s="34">
        <v>1</v>
      </c>
      <c r="J63" s="46"/>
    </row>
    <row r="64" spans="1:10" x14ac:dyDescent="0.3">
      <c r="A64" s="46"/>
      <c r="B64" s="32" t="s">
        <v>54</v>
      </c>
      <c r="C64" s="32" t="s">
        <v>141</v>
      </c>
      <c r="D64" s="32" t="s">
        <v>128</v>
      </c>
      <c r="E64" s="32" t="s">
        <v>131</v>
      </c>
      <c r="F64" s="32">
        <v>272</v>
      </c>
      <c r="G64" s="34">
        <f>Tableau8[[#This Row],[TEU]]*6</f>
        <v>1632</v>
      </c>
      <c r="H64" s="32">
        <v>0.47</v>
      </c>
      <c r="I64" s="32">
        <v>1</v>
      </c>
      <c r="J64" s="46"/>
    </row>
    <row r="65" spans="1:10" x14ac:dyDescent="0.3">
      <c r="A65" s="46"/>
      <c r="B65" s="34" t="s">
        <v>54</v>
      </c>
      <c r="C65" s="34" t="s">
        <v>136</v>
      </c>
      <c r="D65" s="34" t="s">
        <v>137</v>
      </c>
      <c r="E65" s="34" t="s">
        <v>131</v>
      </c>
      <c r="F65" s="34">
        <v>272</v>
      </c>
      <c r="G65" s="34">
        <f>Tableau8[[#This Row],[TEU]]*10.5</f>
        <v>2856</v>
      </c>
      <c r="H65" s="34">
        <v>0.25</v>
      </c>
      <c r="I65" s="34">
        <v>1</v>
      </c>
      <c r="J65" s="46"/>
    </row>
    <row r="66" spans="1:10" x14ac:dyDescent="0.3">
      <c r="A66" s="46"/>
      <c r="B66" s="32" t="s">
        <v>54</v>
      </c>
      <c r="C66" s="32" t="s">
        <v>136</v>
      </c>
      <c r="D66" s="32" t="s">
        <v>128</v>
      </c>
      <c r="E66" s="32" t="s">
        <v>131</v>
      </c>
      <c r="F66" s="32">
        <v>272</v>
      </c>
      <c r="G66" s="32">
        <f>Tableau8[[#This Row],[TEU]]*10.5</f>
        <v>2856</v>
      </c>
      <c r="H66" s="32">
        <v>0.31</v>
      </c>
      <c r="I66" s="32">
        <v>1</v>
      </c>
      <c r="J66" s="46"/>
    </row>
    <row r="67" spans="1:10" x14ac:dyDescent="0.3">
      <c r="A67" s="46"/>
      <c r="B67" s="34" t="s">
        <v>54</v>
      </c>
      <c r="C67" s="34" t="s">
        <v>127</v>
      </c>
      <c r="D67" s="34" t="s">
        <v>137</v>
      </c>
      <c r="E67" s="34" t="s">
        <v>131</v>
      </c>
      <c r="F67" s="34">
        <v>272</v>
      </c>
      <c r="G67" s="34">
        <f>Tableau8[[#This Row],[TEU]]*14</f>
        <v>3808</v>
      </c>
      <c r="H67" s="34">
        <v>0.22</v>
      </c>
      <c r="I67" s="34">
        <v>1</v>
      </c>
      <c r="J67" s="46"/>
    </row>
    <row r="68" spans="1:10" x14ac:dyDescent="0.3">
      <c r="A68" s="46"/>
      <c r="B68" s="32" t="s">
        <v>54</v>
      </c>
      <c r="C68" s="32" t="s">
        <v>127</v>
      </c>
      <c r="D68" s="32" t="s">
        <v>128</v>
      </c>
      <c r="E68" s="32" t="s">
        <v>131</v>
      </c>
      <c r="F68" s="32">
        <v>272</v>
      </c>
      <c r="G68" s="32">
        <f>Tableau8[[#This Row],[TEU]]*14</f>
        <v>3808</v>
      </c>
      <c r="H68" s="32">
        <v>0.26</v>
      </c>
      <c r="I68" s="32">
        <v>1</v>
      </c>
      <c r="J68" s="46"/>
    </row>
    <row r="69" spans="1:10" hidden="1" x14ac:dyDescent="0.3">
      <c r="A69" s="46"/>
      <c r="B69" s="34" t="s">
        <v>118</v>
      </c>
      <c r="C69" s="34" t="s">
        <v>136</v>
      </c>
      <c r="D69" s="34" t="s">
        <v>137</v>
      </c>
      <c r="E69" s="34" t="s">
        <v>157</v>
      </c>
      <c r="F69" s="34"/>
      <c r="G69" s="37">
        <v>3000</v>
      </c>
      <c r="H69" s="34">
        <v>0.17</v>
      </c>
      <c r="I69" s="34">
        <v>1</v>
      </c>
      <c r="J69" s="46"/>
    </row>
    <row r="70" spans="1:10" hidden="1" x14ac:dyDescent="0.3">
      <c r="A70" s="46"/>
      <c r="B70" s="32" t="s">
        <v>118</v>
      </c>
      <c r="C70" s="32" t="s">
        <v>136</v>
      </c>
      <c r="D70" s="32" t="s">
        <v>128</v>
      </c>
      <c r="E70" s="32" t="s">
        <v>157</v>
      </c>
      <c r="F70" s="32"/>
      <c r="G70" s="36">
        <v>3000</v>
      </c>
      <c r="H70" s="32">
        <v>0.25</v>
      </c>
      <c r="I70" s="32">
        <v>1</v>
      </c>
      <c r="J70" s="46"/>
    </row>
    <row r="71" spans="1:10" hidden="1" x14ac:dyDescent="0.3">
      <c r="A71" s="46"/>
      <c r="B71" s="34" t="s">
        <v>118</v>
      </c>
      <c r="C71" s="34" t="s">
        <v>141</v>
      </c>
      <c r="D71" s="34" t="s">
        <v>137</v>
      </c>
      <c r="E71" s="34" t="s">
        <v>157</v>
      </c>
      <c r="F71" s="34"/>
      <c r="G71" s="37">
        <v>3000</v>
      </c>
      <c r="H71" s="38">
        <v>0.22</v>
      </c>
      <c r="I71" s="34">
        <v>1</v>
      </c>
      <c r="J71" s="46"/>
    </row>
    <row r="72" spans="1:10" hidden="1" x14ac:dyDescent="0.3">
      <c r="A72" s="46"/>
      <c r="B72" s="32" t="s">
        <v>118</v>
      </c>
      <c r="C72" s="32" t="s">
        <v>141</v>
      </c>
      <c r="D72" s="32" t="s">
        <v>128</v>
      </c>
      <c r="E72" s="32" t="s">
        <v>157</v>
      </c>
      <c r="F72" s="32"/>
      <c r="G72" s="36">
        <v>3000</v>
      </c>
      <c r="H72" s="39">
        <v>0.33</v>
      </c>
      <c r="I72" s="32">
        <v>1</v>
      </c>
      <c r="J72" s="46"/>
    </row>
    <row r="73" spans="1:10" hidden="1" x14ac:dyDescent="0.3">
      <c r="A73" s="46"/>
      <c r="B73" s="34" t="s">
        <v>118</v>
      </c>
      <c r="C73" s="34" t="s">
        <v>127</v>
      </c>
      <c r="D73" s="34" t="s">
        <v>137</v>
      </c>
      <c r="E73" s="34" t="s">
        <v>157</v>
      </c>
      <c r="F73" s="34"/>
      <c r="G73" s="37">
        <v>3000</v>
      </c>
      <c r="H73" s="38">
        <v>0.18</v>
      </c>
      <c r="I73" s="34">
        <v>1</v>
      </c>
      <c r="J73" s="46"/>
    </row>
    <row r="74" spans="1:10" hidden="1" x14ac:dyDescent="0.3">
      <c r="A74" s="46"/>
      <c r="B74" s="32" t="s">
        <v>118</v>
      </c>
      <c r="C74" s="32" t="s">
        <v>127</v>
      </c>
      <c r="D74" s="32" t="s">
        <v>128</v>
      </c>
      <c r="E74" s="32" t="s">
        <v>157</v>
      </c>
      <c r="F74" s="32"/>
      <c r="G74" s="36">
        <v>3000</v>
      </c>
      <c r="H74" s="39">
        <v>0.25</v>
      </c>
      <c r="I74" s="32">
        <v>1</v>
      </c>
      <c r="J74" s="46"/>
    </row>
    <row r="75" spans="1:10" x14ac:dyDescent="0.3">
      <c r="A75" s="46"/>
      <c r="B75" s="34" t="s">
        <v>54</v>
      </c>
      <c r="C75" s="34" t="s">
        <v>141</v>
      </c>
      <c r="D75" s="34" t="s">
        <v>137</v>
      </c>
      <c r="E75" s="34" t="s">
        <v>132</v>
      </c>
      <c r="F75" s="34">
        <v>208</v>
      </c>
      <c r="G75" s="34">
        <f>Tableau8[[#This Row],[TEU]]*6</f>
        <v>1248</v>
      </c>
      <c r="H75" s="34">
        <v>0.31</v>
      </c>
      <c r="I75" s="34">
        <v>1</v>
      </c>
      <c r="J75" s="46"/>
    </row>
    <row r="76" spans="1:10" x14ac:dyDescent="0.3">
      <c r="A76" s="46"/>
      <c r="B76" s="32" t="s">
        <v>54</v>
      </c>
      <c r="C76" s="32" t="s">
        <v>141</v>
      </c>
      <c r="D76" s="32" t="s">
        <v>128</v>
      </c>
      <c r="E76" s="32" t="s">
        <v>132</v>
      </c>
      <c r="F76" s="32">
        <v>208</v>
      </c>
      <c r="G76" s="34">
        <f>Tableau8[[#This Row],[TEU]]*6</f>
        <v>1248</v>
      </c>
      <c r="H76" s="32">
        <v>0.49</v>
      </c>
      <c r="I76" s="32">
        <v>1</v>
      </c>
      <c r="J76" s="46"/>
    </row>
    <row r="77" spans="1:10" x14ac:dyDescent="0.3">
      <c r="A77" s="46"/>
      <c r="B77" s="34" t="s">
        <v>54</v>
      </c>
      <c r="C77" s="34" t="s">
        <v>136</v>
      </c>
      <c r="D77" s="34" t="s">
        <v>137</v>
      </c>
      <c r="E77" s="34" t="s">
        <v>132</v>
      </c>
      <c r="F77" s="34">
        <v>208</v>
      </c>
      <c r="G77" s="34">
        <f>Tableau8[[#This Row],[TEU]]*10.5</f>
        <v>2184</v>
      </c>
      <c r="H77" s="34">
        <v>0.22</v>
      </c>
      <c r="I77" s="34">
        <v>1</v>
      </c>
      <c r="J77" s="46"/>
    </row>
    <row r="78" spans="1:10" x14ac:dyDescent="0.3">
      <c r="A78" s="46"/>
      <c r="B78" s="32" t="s">
        <v>54</v>
      </c>
      <c r="C78" s="32" t="s">
        <v>136</v>
      </c>
      <c r="D78" s="32" t="s">
        <v>128</v>
      </c>
      <c r="E78" s="32" t="s">
        <v>132</v>
      </c>
      <c r="F78" s="32">
        <v>208</v>
      </c>
      <c r="G78" s="32">
        <f>Tableau8[[#This Row],[TEU]]*10.5</f>
        <v>2184</v>
      </c>
      <c r="H78" s="32">
        <v>0.32</v>
      </c>
      <c r="I78" s="32">
        <v>1</v>
      </c>
      <c r="J78" s="46"/>
    </row>
    <row r="79" spans="1:10" x14ac:dyDescent="0.3">
      <c r="A79" s="46"/>
      <c r="B79" s="34" t="s">
        <v>54</v>
      </c>
      <c r="C79" s="34" t="s">
        <v>127</v>
      </c>
      <c r="D79" s="34" t="s">
        <v>137</v>
      </c>
      <c r="E79" s="34" t="s">
        <v>132</v>
      </c>
      <c r="F79" s="34">
        <v>208</v>
      </c>
      <c r="G79" s="34">
        <f>Tableau8[[#This Row],[TEU]]*14</f>
        <v>2912</v>
      </c>
      <c r="H79" s="34">
        <v>0.19</v>
      </c>
      <c r="I79" s="34">
        <v>1</v>
      </c>
      <c r="J79" s="46"/>
    </row>
    <row r="80" spans="1:10" x14ac:dyDescent="0.3">
      <c r="A80" s="46"/>
      <c r="B80" s="32" t="s">
        <v>54</v>
      </c>
      <c r="C80" s="32" t="s">
        <v>127</v>
      </c>
      <c r="D80" s="32" t="s">
        <v>128</v>
      </c>
      <c r="E80" s="32" t="s">
        <v>132</v>
      </c>
      <c r="F80" s="32">
        <v>208</v>
      </c>
      <c r="G80" s="32">
        <f>Tableau8[[#This Row],[TEU]]*14</f>
        <v>2912</v>
      </c>
      <c r="H80" s="32">
        <v>0.26</v>
      </c>
      <c r="I80" s="32">
        <v>1</v>
      </c>
      <c r="J80" s="46"/>
    </row>
    <row r="81" spans="1:10" x14ac:dyDescent="0.3">
      <c r="A81" s="46"/>
      <c r="B81" s="34" t="s">
        <v>54</v>
      </c>
      <c r="C81" s="34" t="s">
        <v>127</v>
      </c>
      <c r="D81" s="34" t="s">
        <v>137</v>
      </c>
      <c r="E81" s="34" t="s">
        <v>133</v>
      </c>
      <c r="F81" s="34">
        <v>40</v>
      </c>
      <c r="G81" s="34">
        <f>Tableau8[[#This Row],[TEU]]*14</f>
        <v>560</v>
      </c>
      <c r="H81" s="34">
        <v>0.37</v>
      </c>
      <c r="I81" s="34">
        <v>1</v>
      </c>
      <c r="J81" s="46"/>
    </row>
    <row r="82" spans="1:10" x14ac:dyDescent="0.3">
      <c r="A82" s="46"/>
      <c r="B82" s="32" t="s">
        <v>54</v>
      </c>
      <c r="C82" s="32" t="s">
        <v>127</v>
      </c>
      <c r="D82" s="32" t="s">
        <v>128</v>
      </c>
      <c r="E82" s="32" t="s">
        <v>133</v>
      </c>
      <c r="F82" s="32">
        <v>40</v>
      </c>
      <c r="G82" s="32">
        <f>Tableau8[[#This Row],[TEU]]*14</f>
        <v>560</v>
      </c>
      <c r="H82" s="32">
        <v>0.44</v>
      </c>
      <c r="I82" s="32">
        <v>1</v>
      </c>
      <c r="J82" s="46"/>
    </row>
    <row r="83" spans="1:10" x14ac:dyDescent="0.3">
      <c r="A83" s="46"/>
      <c r="B83" s="34" t="s">
        <v>54</v>
      </c>
      <c r="C83" s="34" t="s">
        <v>141</v>
      </c>
      <c r="D83" s="34" t="s">
        <v>137</v>
      </c>
      <c r="E83" s="34" t="s">
        <v>158</v>
      </c>
      <c r="F83" s="34">
        <v>40</v>
      </c>
      <c r="G83" s="34">
        <f>Tableau8[[#This Row],[TEU]]*6</f>
        <v>240</v>
      </c>
      <c r="H83" s="34">
        <v>0.61</v>
      </c>
      <c r="I83" s="34">
        <v>1</v>
      </c>
      <c r="J83" s="46"/>
    </row>
    <row r="84" spans="1:10" x14ac:dyDescent="0.3">
      <c r="A84" s="46"/>
      <c r="B84" s="32" t="s">
        <v>54</v>
      </c>
      <c r="C84" s="32" t="s">
        <v>141</v>
      </c>
      <c r="D84" s="32" t="s">
        <v>128</v>
      </c>
      <c r="E84" s="32" t="s">
        <v>158</v>
      </c>
      <c r="F84" s="32">
        <v>40</v>
      </c>
      <c r="G84" s="34">
        <f>Tableau8[[#This Row],[TEU]]*6</f>
        <v>240</v>
      </c>
      <c r="H84" s="32">
        <v>0.77</v>
      </c>
      <c r="I84" s="32">
        <v>1</v>
      </c>
      <c r="J84" s="46"/>
    </row>
    <row r="85" spans="1:10" x14ac:dyDescent="0.3">
      <c r="A85" s="46"/>
      <c r="B85" s="34" t="s">
        <v>54</v>
      </c>
      <c r="C85" s="34" t="s">
        <v>136</v>
      </c>
      <c r="D85" s="34" t="s">
        <v>137</v>
      </c>
      <c r="E85" s="34" t="s">
        <v>158</v>
      </c>
      <c r="F85" s="34">
        <v>40</v>
      </c>
      <c r="G85" s="34">
        <f>Tableau8[[#This Row],[TEU]]*10.5</f>
        <v>420</v>
      </c>
      <c r="H85" s="34">
        <v>0.43</v>
      </c>
      <c r="I85" s="34">
        <v>1</v>
      </c>
      <c r="J85" s="46"/>
    </row>
    <row r="86" spans="1:10" x14ac:dyDescent="0.3">
      <c r="A86" s="46"/>
      <c r="B86" s="32" t="s">
        <v>54</v>
      </c>
      <c r="C86" s="32" t="s">
        <v>136</v>
      </c>
      <c r="D86" s="32" t="s">
        <v>128</v>
      </c>
      <c r="E86" s="32" t="s">
        <v>158</v>
      </c>
      <c r="F86" s="32">
        <v>40</v>
      </c>
      <c r="G86" s="32">
        <f>Tableau8[[#This Row],[TEU]]*10.5</f>
        <v>420</v>
      </c>
      <c r="H86" s="32">
        <v>0.52</v>
      </c>
      <c r="I86" s="32">
        <v>1</v>
      </c>
      <c r="J86" s="46"/>
    </row>
    <row r="87" spans="1:10" hidden="1" x14ac:dyDescent="0.3">
      <c r="A87" s="46"/>
      <c r="B87" s="34" t="s">
        <v>118</v>
      </c>
      <c r="C87" s="34" t="s">
        <v>141</v>
      </c>
      <c r="D87" s="34" t="s">
        <v>137</v>
      </c>
      <c r="E87" s="34" t="s">
        <v>159</v>
      </c>
      <c r="F87" s="34"/>
      <c r="G87" s="37">
        <v>2000</v>
      </c>
      <c r="H87" s="35"/>
      <c r="I87" s="34">
        <v>1</v>
      </c>
      <c r="J87" s="46"/>
    </row>
    <row r="88" spans="1:10" hidden="1" x14ac:dyDescent="0.3">
      <c r="A88" s="46"/>
      <c r="B88" s="32" t="s">
        <v>118</v>
      </c>
      <c r="C88" s="32" t="s">
        <v>141</v>
      </c>
      <c r="D88" s="32" t="s">
        <v>128</v>
      </c>
      <c r="E88" s="32" t="s">
        <v>159</v>
      </c>
      <c r="F88" s="32"/>
      <c r="G88" s="36">
        <v>2000</v>
      </c>
      <c r="H88" s="33"/>
      <c r="I88" s="32">
        <v>1</v>
      </c>
      <c r="J88" s="46"/>
    </row>
    <row r="89" spans="1:10" hidden="1" x14ac:dyDescent="0.3">
      <c r="A89" s="46"/>
      <c r="B89" s="34" t="s">
        <v>118</v>
      </c>
      <c r="C89" s="34" t="s">
        <v>127</v>
      </c>
      <c r="D89" s="34" t="s">
        <v>137</v>
      </c>
      <c r="E89" s="34" t="s">
        <v>159</v>
      </c>
      <c r="F89" s="34"/>
      <c r="G89" s="37">
        <v>2000</v>
      </c>
      <c r="H89" s="38"/>
      <c r="I89" s="34">
        <v>1</v>
      </c>
      <c r="J89" s="46"/>
    </row>
    <row r="90" spans="1:10" hidden="1" x14ac:dyDescent="0.3">
      <c r="A90" s="46"/>
      <c r="B90" s="32" t="s">
        <v>118</v>
      </c>
      <c r="C90" s="32" t="s">
        <v>127</v>
      </c>
      <c r="D90" s="32" t="s">
        <v>128</v>
      </c>
      <c r="E90" s="32" t="s">
        <v>159</v>
      </c>
      <c r="F90" s="32"/>
      <c r="G90" s="36">
        <v>2000</v>
      </c>
      <c r="H90" s="39"/>
      <c r="I90" s="32">
        <v>1</v>
      </c>
      <c r="J90" s="46"/>
    </row>
    <row r="91" spans="1:10" hidden="1" x14ac:dyDescent="0.3">
      <c r="A91" s="46"/>
      <c r="B91" s="34" t="s">
        <v>118</v>
      </c>
      <c r="C91" s="34" t="s">
        <v>136</v>
      </c>
      <c r="D91" s="34" t="s">
        <v>137</v>
      </c>
      <c r="E91" s="34" t="s">
        <v>159</v>
      </c>
      <c r="F91" s="34"/>
      <c r="G91" s="37">
        <v>2000</v>
      </c>
      <c r="H91" s="40">
        <v>0.223</v>
      </c>
      <c r="I91" s="34">
        <v>1</v>
      </c>
      <c r="J91" s="46"/>
    </row>
    <row r="92" spans="1:10" hidden="1" x14ac:dyDescent="0.3">
      <c r="A92" s="46"/>
      <c r="B92" s="32" t="s">
        <v>118</v>
      </c>
      <c r="C92" s="32" t="s">
        <v>136</v>
      </c>
      <c r="D92" s="32" t="s">
        <v>128</v>
      </c>
      <c r="E92" s="32" t="s">
        <v>159</v>
      </c>
      <c r="F92" s="32"/>
      <c r="G92" s="36">
        <v>2000</v>
      </c>
      <c r="H92" s="33"/>
      <c r="I92" s="32">
        <v>1</v>
      </c>
      <c r="J92" s="46"/>
    </row>
    <row r="93" spans="1:10" x14ac:dyDescent="0.3">
      <c r="A93" s="46"/>
      <c r="B93" s="34" t="s">
        <v>54</v>
      </c>
      <c r="C93" s="34" t="s">
        <v>141</v>
      </c>
      <c r="D93" s="34" t="s">
        <v>137</v>
      </c>
      <c r="E93" s="34" t="s">
        <v>134</v>
      </c>
      <c r="F93" s="34">
        <v>96</v>
      </c>
      <c r="G93" s="34">
        <f>Tableau8[[#This Row],[TEU]]*6</f>
        <v>576</v>
      </c>
      <c r="H93" s="34">
        <v>0.51</v>
      </c>
      <c r="I93" s="34">
        <v>1</v>
      </c>
      <c r="J93" s="46"/>
    </row>
    <row r="94" spans="1:10" x14ac:dyDescent="0.3">
      <c r="A94" s="46"/>
      <c r="B94" s="32" t="s">
        <v>54</v>
      </c>
      <c r="C94" s="32" t="s">
        <v>141</v>
      </c>
      <c r="D94" s="32" t="s">
        <v>128</v>
      </c>
      <c r="E94" s="32" t="s">
        <v>134</v>
      </c>
      <c r="F94" s="32">
        <v>96</v>
      </c>
      <c r="G94" s="34">
        <f>Tableau8[[#This Row],[TEU]]*6</f>
        <v>576</v>
      </c>
      <c r="H94" s="32">
        <v>0.74</v>
      </c>
      <c r="I94" s="32">
        <v>1</v>
      </c>
      <c r="J94" s="46"/>
    </row>
    <row r="95" spans="1:10" x14ac:dyDescent="0.3">
      <c r="A95" s="46"/>
      <c r="B95" s="34" t="s">
        <v>54</v>
      </c>
      <c r="C95" s="34" t="s">
        <v>136</v>
      </c>
      <c r="D95" s="34" t="s">
        <v>137</v>
      </c>
      <c r="E95" s="34" t="s">
        <v>134</v>
      </c>
      <c r="F95" s="34">
        <v>96</v>
      </c>
      <c r="G95" s="34">
        <f>Tableau8[[#This Row],[TEU]]*10.5</f>
        <v>1008</v>
      </c>
      <c r="H95" s="34">
        <v>0.35</v>
      </c>
      <c r="I95" s="34">
        <v>1</v>
      </c>
      <c r="J95" s="46"/>
    </row>
    <row r="96" spans="1:10" x14ac:dyDescent="0.3">
      <c r="A96" s="46"/>
      <c r="B96" s="32" t="s">
        <v>54</v>
      </c>
      <c r="C96" s="32" t="s">
        <v>136</v>
      </c>
      <c r="D96" s="32" t="s">
        <v>128</v>
      </c>
      <c r="E96" s="32" t="s">
        <v>134</v>
      </c>
      <c r="F96" s="32">
        <v>96</v>
      </c>
      <c r="G96" s="32">
        <f>Tableau8[[#This Row],[TEU]]*10.5</f>
        <v>1008</v>
      </c>
      <c r="H96" s="32">
        <v>0.49</v>
      </c>
      <c r="I96" s="32">
        <v>1</v>
      </c>
      <c r="J96" s="46"/>
    </row>
    <row r="97" spans="1:10" x14ac:dyDescent="0.3">
      <c r="A97" s="46"/>
      <c r="B97" s="34" t="s">
        <v>54</v>
      </c>
      <c r="C97" s="34" t="s">
        <v>127</v>
      </c>
      <c r="D97" s="34" t="s">
        <v>137</v>
      </c>
      <c r="E97" s="34" t="s">
        <v>134</v>
      </c>
      <c r="F97" s="34">
        <v>96</v>
      </c>
      <c r="G97" s="34">
        <f>Tableau8[[#This Row],[TEU]]*14</f>
        <v>1344</v>
      </c>
      <c r="H97" s="34">
        <v>0.28999999999999998</v>
      </c>
      <c r="I97" s="34">
        <v>1</v>
      </c>
      <c r="J97" s="46"/>
    </row>
    <row r="98" spans="1:10" x14ac:dyDescent="0.3">
      <c r="A98" s="46"/>
      <c r="B98" s="32" t="s">
        <v>54</v>
      </c>
      <c r="C98" s="32" t="s">
        <v>127</v>
      </c>
      <c r="D98" s="32" t="s">
        <v>128</v>
      </c>
      <c r="E98" s="32" t="s">
        <v>134</v>
      </c>
      <c r="F98" s="32">
        <v>96</v>
      </c>
      <c r="G98" s="32">
        <f>Tableau8[[#This Row],[TEU]]*14</f>
        <v>1344</v>
      </c>
      <c r="H98" s="32">
        <v>0.39</v>
      </c>
      <c r="I98" s="32">
        <v>1</v>
      </c>
      <c r="J98" s="46"/>
    </row>
    <row r="99" spans="1:10" x14ac:dyDescent="0.3">
      <c r="A99" s="46"/>
      <c r="B99" s="34" t="s">
        <v>54</v>
      </c>
      <c r="C99" s="34" t="s">
        <v>141</v>
      </c>
      <c r="D99" s="34" t="s">
        <v>128</v>
      </c>
      <c r="E99" s="34" t="s">
        <v>135</v>
      </c>
      <c r="F99" s="34">
        <v>434</v>
      </c>
      <c r="G99" s="34">
        <f>Tableau8[[#This Row],[TEU]]*6</f>
        <v>2604</v>
      </c>
      <c r="H99" s="34">
        <v>0.43</v>
      </c>
      <c r="I99" s="34">
        <v>1</v>
      </c>
      <c r="J99" s="46"/>
    </row>
    <row r="100" spans="1:10" x14ac:dyDescent="0.3">
      <c r="A100" s="46"/>
      <c r="B100" s="34" t="s">
        <v>54</v>
      </c>
      <c r="C100" s="34" t="s">
        <v>136</v>
      </c>
      <c r="D100" s="34" t="s">
        <v>128</v>
      </c>
      <c r="E100" s="34" t="s">
        <v>135</v>
      </c>
      <c r="F100" s="34">
        <v>434</v>
      </c>
      <c r="G100" s="34">
        <f>Tableau8[[#This Row],[TEU]]*10.5</f>
        <v>4557</v>
      </c>
      <c r="H100" s="34">
        <v>0.28999999999999998</v>
      </c>
      <c r="I100" s="34">
        <v>1</v>
      </c>
      <c r="J100" s="46"/>
    </row>
    <row r="101" spans="1:10" x14ac:dyDescent="0.3">
      <c r="A101" s="46"/>
      <c r="B101" s="34" t="s">
        <v>54</v>
      </c>
      <c r="C101" s="34" t="s">
        <v>127</v>
      </c>
      <c r="D101" s="34" t="s">
        <v>128</v>
      </c>
      <c r="E101" s="34" t="s">
        <v>135</v>
      </c>
      <c r="F101" s="34">
        <v>434</v>
      </c>
      <c r="G101" s="34">
        <f>Tableau8[[#This Row],[TEU]]*14</f>
        <v>6076</v>
      </c>
      <c r="H101" s="34">
        <v>0.25</v>
      </c>
      <c r="I101" s="34">
        <v>1</v>
      </c>
      <c r="J101" s="46"/>
    </row>
    <row r="102" spans="1:10" hidden="1" x14ac:dyDescent="0.3">
      <c r="A102" s="46"/>
      <c r="B102" s="32" t="s">
        <v>118</v>
      </c>
      <c r="C102" s="32" t="s">
        <v>136</v>
      </c>
      <c r="D102" s="32" t="s">
        <v>137</v>
      </c>
      <c r="E102" s="32" t="s">
        <v>160</v>
      </c>
      <c r="F102" s="32"/>
      <c r="G102" s="36">
        <v>1350</v>
      </c>
      <c r="H102" s="32">
        <v>0.28000000000000003</v>
      </c>
      <c r="I102" s="32">
        <v>1</v>
      </c>
      <c r="J102" s="46"/>
    </row>
    <row r="103" spans="1:10" hidden="1" x14ac:dyDescent="0.3">
      <c r="A103" s="46"/>
      <c r="B103" s="34" t="s">
        <v>118</v>
      </c>
      <c r="C103" s="34" t="s">
        <v>141</v>
      </c>
      <c r="D103" s="34" t="s">
        <v>137</v>
      </c>
      <c r="E103" s="34" t="s">
        <v>160</v>
      </c>
      <c r="F103" s="34"/>
      <c r="G103" s="37">
        <v>1350</v>
      </c>
      <c r="H103" s="38">
        <v>0.34</v>
      </c>
      <c r="I103" s="34">
        <v>1</v>
      </c>
      <c r="J103" s="46"/>
    </row>
    <row r="104" spans="1:10" hidden="1" x14ac:dyDescent="0.3">
      <c r="A104" s="46"/>
      <c r="B104" s="32" t="s">
        <v>118</v>
      </c>
      <c r="C104" s="32" t="s">
        <v>141</v>
      </c>
      <c r="D104" s="32" t="s">
        <v>128</v>
      </c>
      <c r="E104" s="32" t="s">
        <v>160</v>
      </c>
      <c r="F104" s="32"/>
      <c r="G104" s="36">
        <v>1350</v>
      </c>
      <c r="H104" s="39">
        <v>0.48</v>
      </c>
      <c r="I104" s="32">
        <v>1</v>
      </c>
      <c r="J104" s="46"/>
    </row>
    <row r="105" spans="1:10" hidden="1" x14ac:dyDescent="0.3">
      <c r="A105" s="46"/>
      <c r="B105" s="34" t="s">
        <v>118</v>
      </c>
      <c r="C105" s="34" t="s">
        <v>127</v>
      </c>
      <c r="D105" s="34" t="s">
        <v>137</v>
      </c>
      <c r="E105" s="34" t="s">
        <v>160</v>
      </c>
      <c r="F105" s="34"/>
      <c r="G105" s="37">
        <v>1350</v>
      </c>
      <c r="H105" s="38">
        <v>0.28000000000000003</v>
      </c>
      <c r="I105" s="34">
        <v>1</v>
      </c>
      <c r="J105" s="46"/>
    </row>
    <row r="106" spans="1:10" hidden="1" x14ac:dyDescent="0.3">
      <c r="A106" s="46"/>
      <c r="B106" s="32" t="s">
        <v>118</v>
      </c>
      <c r="C106" s="32" t="s">
        <v>127</v>
      </c>
      <c r="D106" s="32" t="s">
        <v>128</v>
      </c>
      <c r="E106" s="32" t="s">
        <v>160</v>
      </c>
      <c r="F106" s="32"/>
      <c r="G106" s="36">
        <v>1350</v>
      </c>
      <c r="H106" s="39">
        <v>0.37</v>
      </c>
      <c r="I106" s="32">
        <v>1</v>
      </c>
      <c r="J106" s="46"/>
    </row>
    <row r="107" spans="1:10" hidden="1" x14ac:dyDescent="0.3">
      <c r="A107" s="46"/>
      <c r="B107" s="34" t="s">
        <v>118</v>
      </c>
      <c r="C107" s="34" t="s">
        <v>136</v>
      </c>
      <c r="D107" s="34" t="s">
        <v>128</v>
      </c>
      <c r="E107" s="34" t="s">
        <v>160</v>
      </c>
      <c r="F107" s="34"/>
      <c r="G107" s="37">
        <v>1350</v>
      </c>
      <c r="H107" s="34">
        <v>0.36</v>
      </c>
      <c r="I107" s="34">
        <v>1</v>
      </c>
      <c r="J107" s="46"/>
    </row>
    <row r="108" spans="1:10" x14ac:dyDescent="0.3">
      <c r="A108" s="46"/>
      <c r="B108" s="32" t="s">
        <v>54</v>
      </c>
      <c r="C108" s="32" t="s">
        <v>141</v>
      </c>
      <c r="D108" s="32" t="s">
        <v>137</v>
      </c>
      <c r="E108" s="32" t="s">
        <v>61</v>
      </c>
      <c r="F108" s="32">
        <v>54</v>
      </c>
      <c r="G108" s="34">
        <f>Tableau8[[#This Row],[TEU]]*6</f>
        <v>324</v>
      </c>
      <c r="H108" s="33"/>
      <c r="I108" s="32">
        <v>1</v>
      </c>
      <c r="J108" s="46"/>
    </row>
    <row r="109" spans="1:10" x14ac:dyDescent="0.3">
      <c r="A109" s="46"/>
      <c r="B109" s="34" t="s">
        <v>54</v>
      </c>
      <c r="C109" s="34" t="s">
        <v>141</v>
      </c>
      <c r="D109" s="34" t="s">
        <v>128</v>
      </c>
      <c r="E109" s="34" t="s">
        <v>61</v>
      </c>
      <c r="F109" s="34">
        <v>54</v>
      </c>
      <c r="G109" s="34">
        <f>Tableau8[[#This Row],[TEU]]*6</f>
        <v>324</v>
      </c>
      <c r="H109" s="35"/>
      <c r="I109" s="34">
        <v>1</v>
      </c>
      <c r="J109" s="46"/>
    </row>
    <row r="110" spans="1:10" x14ac:dyDescent="0.3">
      <c r="A110" s="46"/>
      <c r="B110" s="32" t="s">
        <v>54</v>
      </c>
      <c r="C110" s="32" t="s">
        <v>136</v>
      </c>
      <c r="D110" s="32" t="s">
        <v>137</v>
      </c>
      <c r="E110" s="32" t="s">
        <v>61</v>
      </c>
      <c r="F110" s="32">
        <v>54</v>
      </c>
      <c r="G110" s="32">
        <f>Tableau8[[#This Row],[TEU]]*10.5</f>
        <v>567</v>
      </c>
      <c r="H110" s="33"/>
      <c r="I110" s="32">
        <v>1</v>
      </c>
      <c r="J110" s="46"/>
    </row>
    <row r="111" spans="1:10" x14ac:dyDescent="0.3">
      <c r="A111" s="46"/>
      <c r="B111" s="34" t="s">
        <v>54</v>
      </c>
      <c r="C111" s="34" t="s">
        <v>136</v>
      </c>
      <c r="D111" s="34" t="s">
        <v>128</v>
      </c>
      <c r="E111" s="34" t="s">
        <v>61</v>
      </c>
      <c r="F111" s="34">
        <v>54</v>
      </c>
      <c r="G111" s="34">
        <f>Tableau8[[#This Row],[TEU]]*10.5</f>
        <v>567</v>
      </c>
      <c r="H111" s="35"/>
      <c r="I111" s="34">
        <v>1</v>
      </c>
      <c r="J111" s="46"/>
    </row>
    <row r="112" spans="1:10" x14ac:dyDescent="0.3">
      <c r="A112" s="46"/>
      <c r="B112" s="32" t="s">
        <v>54</v>
      </c>
      <c r="C112" s="32" t="s">
        <v>127</v>
      </c>
      <c r="D112" s="32" t="s">
        <v>137</v>
      </c>
      <c r="E112" s="32" t="s">
        <v>61</v>
      </c>
      <c r="F112" s="32">
        <v>54</v>
      </c>
      <c r="G112" s="32">
        <f>Tableau8[[#This Row],[TEU]]*14</f>
        <v>756</v>
      </c>
      <c r="H112" s="33"/>
      <c r="I112" s="32">
        <v>1</v>
      </c>
      <c r="J112" s="46"/>
    </row>
    <row r="113" spans="1:10" x14ac:dyDescent="0.3">
      <c r="A113" s="46"/>
      <c r="B113" s="34" t="s">
        <v>54</v>
      </c>
      <c r="C113" s="34" t="s">
        <v>127</v>
      </c>
      <c r="D113" s="34" t="s">
        <v>128</v>
      </c>
      <c r="E113" s="34" t="s">
        <v>61</v>
      </c>
      <c r="F113" s="34">
        <v>54</v>
      </c>
      <c r="G113" s="34">
        <f>Tableau8[[#This Row],[TEU]]*14</f>
        <v>756</v>
      </c>
      <c r="H113" s="35"/>
      <c r="I113" s="34">
        <v>1</v>
      </c>
      <c r="J113" s="46"/>
    </row>
    <row r="114" spans="1:10" hidden="1" x14ac:dyDescent="0.3">
      <c r="A114" s="46"/>
      <c r="B114" s="32" t="s">
        <v>118</v>
      </c>
      <c r="C114" s="32" t="s">
        <v>141</v>
      </c>
      <c r="D114" s="32" t="s">
        <v>137</v>
      </c>
      <c r="E114" s="32" t="s">
        <v>102</v>
      </c>
      <c r="F114" s="32"/>
      <c r="G114" s="36">
        <v>350</v>
      </c>
      <c r="H114" s="39">
        <v>0.4</v>
      </c>
      <c r="I114" s="32">
        <v>1</v>
      </c>
      <c r="J114" s="46"/>
    </row>
    <row r="115" spans="1:10" hidden="1" x14ac:dyDescent="0.3">
      <c r="A115" s="46"/>
      <c r="B115" s="34" t="s">
        <v>118</v>
      </c>
      <c r="C115" s="34" t="s">
        <v>141</v>
      </c>
      <c r="D115" s="34" t="s">
        <v>128</v>
      </c>
      <c r="E115" s="34" t="s">
        <v>102</v>
      </c>
      <c r="F115" s="34"/>
      <c r="G115" s="37">
        <v>350</v>
      </c>
      <c r="H115" s="38">
        <v>0.46</v>
      </c>
      <c r="I115" s="34">
        <v>1</v>
      </c>
      <c r="J115" s="46"/>
    </row>
    <row r="116" spans="1:10" hidden="1" x14ac:dyDescent="0.3">
      <c r="A116" s="46"/>
      <c r="B116" s="32" t="s">
        <v>118</v>
      </c>
      <c r="C116" s="32" t="s">
        <v>127</v>
      </c>
      <c r="D116" s="32" t="s">
        <v>137</v>
      </c>
      <c r="E116" s="32" t="s">
        <v>102</v>
      </c>
      <c r="F116" s="32"/>
      <c r="G116" s="36">
        <v>350</v>
      </c>
      <c r="H116" s="39">
        <v>0.33</v>
      </c>
      <c r="I116" s="32">
        <v>1</v>
      </c>
      <c r="J116" s="46"/>
    </row>
    <row r="117" spans="1:10" hidden="1" x14ac:dyDescent="0.3">
      <c r="A117" s="46"/>
      <c r="B117" s="34" t="s">
        <v>118</v>
      </c>
      <c r="C117" s="34" t="s">
        <v>127</v>
      </c>
      <c r="D117" s="34" t="s">
        <v>128</v>
      </c>
      <c r="E117" s="34" t="s">
        <v>102</v>
      </c>
      <c r="F117" s="34"/>
      <c r="G117" s="37">
        <v>350</v>
      </c>
      <c r="H117" s="38">
        <v>0.37</v>
      </c>
      <c r="I117" s="34">
        <v>1</v>
      </c>
      <c r="J117" s="46"/>
    </row>
    <row r="118" spans="1:10" hidden="1" x14ac:dyDescent="0.3">
      <c r="A118" s="46"/>
      <c r="B118" s="32" t="s">
        <v>118</v>
      </c>
      <c r="C118" s="32" t="s">
        <v>136</v>
      </c>
      <c r="D118" s="32" t="s">
        <v>137</v>
      </c>
      <c r="E118" s="32" t="s">
        <v>102</v>
      </c>
      <c r="F118" s="32"/>
      <c r="G118" s="36">
        <v>350</v>
      </c>
      <c r="H118" s="32">
        <v>0.32</v>
      </c>
      <c r="I118" s="32">
        <v>1</v>
      </c>
      <c r="J118" s="46"/>
    </row>
    <row r="119" spans="1:10" hidden="1" x14ac:dyDescent="0.3">
      <c r="A119" s="46"/>
      <c r="B119" s="41" t="s">
        <v>118</v>
      </c>
      <c r="C119" s="41" t="s">
        <v>136</v>
      </c>
      <c r="D119" s="41" t="s">
        <v>128</v>
      </c>
      <c r="E119" s="41" t="s">
        <v>102</v>
      </c>
      <c r="F119" s="41"/>
      <c r="G119" s="42">
        <v>350</v>
      </c>
      <c r="H119" s="41">
        <v>0.36</v>
      </c>
      <c r="I119" s="41">
        <v>1</v>
      </c>
      <c r="J119" s="46"/>
    </row>
    <row r="120" spans="1:10" x14ac:dyDescent="0.3">
      <c r="A120" s="46"/>
      <c r="B120" s="46"/>
      <c r="C120" s="46"/>
      <c r="D120" s="46"/>
      <c r="E120" s="46"/>
      <c r="F120" s="46"/>
      <c r="G120" s="46"/>
      <c r="H120" s="46"/>
      <c r="I120" s="46"/>
      <c r="J120" s="46"/>
    </row>
    <row r="121" spans="1:10" x14ac:dyDescent="0.3">
      <c r="A121" s="46"/>
      <c r="B121" s="46"/>
      <c r="C121" s="46"/>
      <c r="D121" s="46"/>
      <c r="E121" s="46"/>
      <c r="F121" s="46"/>
      <c r="G121" s="46"/>
      <c r="H121" s="46"/>
      <c r="I121" s="46"/>
      <c r="J121" s="46"/>
    </row>
    <row r="122" spans="1:10" ht="15.6" x14ac:dyDescent="0.3">
      <c r="A122" s="275" t="s">
        <v>163</v>
      </c>
      <c r="B122" s="275"/>
      <c r="C122" s="275"/>
      <c r="D122" s="275"/>
      <c r="E122" s="275"/>
      <c r="F122" s="275"/>
      <c r="G122" s="275"/>
      <c r="H122" s="275"/>
      <c r="I122" s="275"/>
      <c r="J122" s="275"/>
    </row>
    <row r="123" spans="1:10" x14ac:dyDescent="0.3">
      <c r="A123" s="46"/>
      <c r="B123" s="46"/>
      <c r="C123" s="46"/>
      <c r="D123" s="46"/>
      <c r="E123" s="46"/>
      <c r="F123" s="46"/>
      <c r="G123" s="46"/>
      <c r="H123" s="46"/>
      <c r="I123" s="46"/>
      <c r="J123" s="46"/>
    </row>
    <row r="124" spans="1:10" x14ac:dyDescent="0.3">
      <c r="A124" s="46"/>
      <c r="B124" s="46"/>
      <c r="C124" s="46"/>
      <c r="D124" s="46"/>
      <c r="E124" s="46"/>
      <c r="F124" s="46"/>
      <c r="G124" s="46"/>
      <c r="H124" s="46"/>
      <c r="I124" s="46"/>
      <c r="J124" s="46"/>
    </row>
    <row r="125" spans="1:10" x14ac:dyDescent="0.3">
      <c r="A125" s="46"/>
      <c r="B125" s="46"/>
      <c r="C125" s="46"/>
      <c r="D125" s="46"/>
      <c r="E125" s="46"/>
      <c r="F125" s="46"/>
      <c r="G125" s="46"/>
      <c r="H125" s="46"/>
      <c r="I125" s="46"/>
      <c r="J125" s="46"/>
    </row>
    <row r="126" spans="1:10" x14ac:dyDescent="0.3">
      <c r="A126" s="46"/>
      <c r="B126" s="46"/>
      <c r="C126" s="46"/>
      <c r="D126" s="46"/>
      <c r="E126" s="46"/>
      <c r="F126" s="46"/>
      <c r="G126" s="46"/>
      <c r="H126" s="46"/>
      <c r="I126" s="46"/>
      <c r="J126" s="46"/>
    </row>
    <row r="127" spans="1:10" x14ac:dyDescent="0.3">
      <c r="A127" s="46"/>
      <c r="B127" s="46"/>
      <c r="C127" s="46"/>
      <c r="D127" s="46"/>
      <c r="E127" s="46"/>
      <c r="F127" s="46"/>
      <c r="G127" s="46"/>
      <c r="H127" s="46"/>
      <c r="I127" s="46"/>
      <c r="J127" s="46"/>
    </row>
    <row r="128" spans="1:10" x14ac:dyDescent="0.3">
      <c r="A128" s="46"/>
      <c r="B128" s="46"/>
      <c r="C128" s="46"/>
      <c r="D128" s="46"/>
      <c r="E128" s="46"/>
      <c r="F128" s="46"/>
      <c r="G128" s="46"/>
      <c r="H128" s="46"/>
      <c r="I128" s="46"/>
      <c r="J128" s="46"/>
    </row>
    <row r="129" spans="1:10" x14ac:dyDescent="0.3">
      <c r="A129" s="46"/>
      <c r="B129" s="46"/>
      <c r="C129" s="46"/>
      <c r="D129" s="46"/>
      <c r="E129" s="46"/>
      <c r="F129" s="46"/>
      <c r="G129" s="46"/>
      <c r="H129" s="46"/>
      <c r="I129" s="46"/>
      <c r="J129" s="46"/>
    </row>
    <row r="130" spans="1:10" x14ac:dyDescent="0.3">
      <c r="A130" s="46"/>
      <c r="B130" s="46"/>
      <c r="C130" s="46"/>
      <c r="D130" s="46"/>
      <c r="E130" s="46"/>
      <c r="F130" s="46"/>
      <c r="G130" s="46"/>
      <c r="H130" s="46"/>
      <c r="I130" s="46"/>
      <c r="J130" s="46"/>
    </row>
    <row r="131" spans="1:10" x14ac:dyDescent="0.3">
      <c r="A131" s="46"/>
      <c r="B131" s="46"/>
      <c r="C131" s="46"/>
      <c r="D131" s="46"/>
      <c r="E131" s="46"/>
      <c r="F131" s="46"/>
      <c r="G131" s="46"/>
      <c r="H131" s="46"/>
      <c r="I131" s="46"/>
      <c r="J131" s="46"/>
    </row>
    <row r="132" spans="1:10" x14ac:dyDescent="0.3">
      <c r="A132" s="46"/>
      <c r="B132" s="46"/>
      <c r="C132" s="46"/>
      <c r="D132" s="46"/>
      <c r="E132" s="46"/>
      <c r="F132" s="46"/>
      <c r="G132" s="46"/>
      <c r="H132" s="46"/>
      <c r="I132" s="46"/>
      <c r="J132" s="46"/>
    </row>
    <row r="133" spans="1:10" x14ac:dyDescent="0.3">
      <c r="A133" s="46"/>
      <c r="B133" s="46"/>
      <c r="C133" s="46"/>
      <c r="D133" s="46"/>
      <c r="E133" s="46"/>
      <c r="F133" s="46"/>
      <c r="G133" s="46"/>
      <c r="H133" s="46"/>
      <c r="I133" s="46"/>
      <c r="J133" s="46"/>
    </row>
    <row r="134" spans="1:10" x14ac:dyDescent="0.3">
      <c r="A134" s="46"/>
      <c r="B134" s="46"/>
      <c r="C134" s="46"/>
      <c r="D134" s="46"/>
      <c r="E134" s="46"/>
      <c r="F134" s="46"/>
      <c r="G134" s="46"/>
      <c r="H134" s="46"/>
      <c r="I134" s="46"/>
      <c r="J134" s="46"/>
    </row>
    <row r="135" spans="1:10" x14ac:dyDescent="0.3">
      <c r="A135" s="46"/>
      <c r="B135" s="46"/>
      <c r="C135" s="46"/>
      <c r="D135" s="46"/>
      <c r="E135" s="46"/>
      <c r="F135" s="46"/>
      <c r="G135" s="46"/>
      <c r="H135" s="46"/>
      <c r="I135" s="46"/>
      <c r="J135" s="46"/>
    </row>
    <row r="136" spans="1:10" x14ac:dyDescent="0.3">
      <c r="A136" s="46"/>
      <c r="B136" s="46"/>
      <c r="C136" s="46"/>
      <c r="D136" s="46"/>
      <c r="E136" s="46"/>
      <c r="F136" s="46"/>
      <c r="G136" s="46"/>
      <c r="H136" s="46"/>
      <c r="I136" s="46"/>
      <c r="J136" s="46"/>
    </row>
    <row r="137" spans="1:10" x14ac:dyDescent="0.3">
      <c r="A137" s="46"/>
      <c r="B137" s="46"/>
      <c r="C137" s="46"/>
      <c r="D137" s="46"/>
      <c r="E137" s="46"/>
      <c r="F137" s="46"/>
      <c r="G137" s="46"/>
      <c r="H137" s="46"/>
      <c r="I137" s="46"/>
      <c r="J137" s="46"/>
    </row>
    <row r="138" spans="1:10" x14ac:dyDescent="0.3">
      <c r="A138" s="46"/>
      <c r="B138" s="46"/>
      <c r="C138" s="46"/>
      <c r="D138" s="46"/>
      <c r="E138" s="46"/>
      <c r="F138" s="46"/>
      <c r="G138" s="46"/>
      <c r="H138" s="46"/>
      <c r="I138" s="46"/>
      <c r="J138" s="46"/>
    </row>
    <row r="139" spans="1:10" x14ac:dyDescent="0.3">
      <c r="A139" s="46"/>
      <c r="B139" s="46"/>
      <c r="C139" s="46"/>
      <c r="D139" s="46"/>
      <c r="E139" s="46"/>
      <c r="F139" s="46"/>
      <c r="G139" s="46"/>
      <c r="H139" s="46"/>
      <c r="I139" s="46"/>
      <c r="J139" s="46"/>
    </row>
    <row r="140" spans="1:10" x14ac:dyDescent="0.3">
      <c r="A140" s="46"/>
      <c r="B140" s="46"/>
      <c r="C140" s="46"/>
      <c r="D140" s="46"/>
      <c r="E140" s="46"/>
      <c r="F140" s="46"/>
      <c r="G140" s="46"/>
      <c r="H140" s="46"/>
      <c r="I140" s="46"/>
      <c r="J140" s="46"/>
    </row>
    <row r="141" spans="1:10" x14ac:dyDescent="0.3">
      <c r="A141" s="46"/>
      <c r="B141" s="46"/>
      <c r="C141" s="46"/>
      <c r="D141" s="46"/>
      <c r="E141" s="46"/>
      <c r="F141" s="46"/>
      <c r="G141" s="46"/>
      <c r="H141" s="46"/>
      <c r="I141" s="46"/>
      <c r="J141" s="46"/>
    </row>
    <row r="142" spans="1:10" x14ac:dyDescent="0.3">
      <c r="A142" s="46"/>
      <c r="B142" s="46"/>
      <c r="C142" s="46"/>
      <c r="D142" s="46"/>
      <c r="E142" s="46"/>
      <c r="F142" s="46"/>
      <c r="G142" s="46"/>
      <c r="H142" s="46"/>
      <c r="I142" s="46"/>
      <c r="J142" s="46"/>
    </row>
    <row r="143" spans="1:10" x14ac:dyDescent="0.3">
      <c r="A143" s="46"/>
      <c r="B143" s="46"/>
      <c r="C143" s="46"/>
      <c r="D143" s="46"/>
      <c r="E143" s="46"/>
      <c r="F143" s="46"/>
      <c r="G143" s="46"/>
      <c r="H143" s="46"/>
      <c r="I143" s="46"/>
      <c r="J143" s="46"/>
    </row>
    <row r="144" spans="1:10" x14ac:dyDescent="0.3">
      <c r="A144" s="46"/>
      <c r="B144" s="46"/>
      <c r="C144" s="46"/>
      <c r="D144" s="46"/>
      <c r="E144" s="46"/>
      <c r="F144" s="46"/>
      <c r="G144" s="46"/>
      <c r="H144" s="46"/>
      <c r="I144" s="46"/>
      <c r="J144" s="46"/>
    </row>
    <row r="145" spans="1:14" x14ac:dyDescent="0.3">
      <c r="A145" s="46"/>
      <c r="B145" s="46"/>
      <c r="C145" s="46"/>
      <c r="D145" s="46"/>
      <c r="E145" s="46"/>
      <c r="F145" s="46"/>
      <c r="G145" s="46"/>
      <c r="H145" s="46"/>
      <c r="I145" s="46"/>
      <c r="J145" s="46"/>
    </row>
    <row r="146" spans="1:14" ht="18" x14ac:dyDescent="0.35">
      <c r="A146" s="46"/>
      <c r="B146" s="271" t="s">
        <v>164</v>
      </c>
      <c r="C146" s="272"/>
      <c r="D146" s="272"/>
      <c r="E146" s="272"/>
      <c r="F146" s="272"/>
      <c r="G146" s="272"/>
      <c r="H146" s="272"/>
      <c r="I146" s="46"/>
      <c r="J146" s="46"/>
      <c r="N146">
        <f xml:space="preserve"> -0.00007*5000 + 0.367</f>
        <v>1.7000000000000015E-2</v>
      </c>
    </row>
    <row r="147" spans="1:14" x14ac:dyDescent="0.3">
      <c r="A147" s="46"/>
      <c r="B147" s="46"/>
      <c r="C147" s="46"/>
      <c r="D147" s="46"/>
      <c r="E147" s="46"/>
      <c r="F147" s="46"/>
      <c r="G147" s="46"/>
      <c r="H147" s="46"/>
      <c r="I147" s="46"/>
      <c r="J147" s="46"/>
    </row>
    <row r="148" spans="1:14" x14ac:dyDescent="0.3">
      <c r="A148" s="46"/>
      <c r="B148" s="273" t="s">
        <v>166</v>
      </c>
      <c r="C148" s="273"/>
      <c r="D148" s="273"/>
      <c r="E148" s="50" t="s">
        <v>165</v>
      </c>
      <c r="F148" s="46"/>
      <c r="G148" s="46"/>
      <c r="H148" s="46"/>
      <c r="I148" s="46"/>
      <c r="J148" s="46"/>
    </row>
    <row r="149" spans="1:14" x14ac:dyDescent="0.3">
      <c r="A149" s="46"/>
      <c r="B149" s="46" t="s">
        <v>118</v>
      </c>
      <c r="C149" s="46" t="s">
        <v>136</v>
      </c>
      <c r="D149" s="46" t="s">
        <v>137</v>
      </c>
      <c r="E149" s="46" t="s">
        <v>138</v>
      </c>
      <c r="F149" s="46"/>
      <c r="G149" s="46"/>
      <c r="H149" s="46"/>
      <c r="I149" s="46"/>
      <c r="J149" s="46"/>
    </row>
    <row r="150" spans="1:14" x14ac:dyDescent="0.3">
      <c r="A150" s="46"/>
      <c r="B150" s="46" t="s">
        <v>118</v>
      </c>
      <c r="C150" s="46" t="s">
        <v>136</v>
      </c>
      <c r="D150" s="46" t="s">
        <v>139</v>
      </c>
      <c r="E150" s="46" t="s">
        <v>140</v>
      </c>
      <c r="F150" s="46"/>
      <c r="G150" s="46"/>
      <c r="H150" s="46"/>
      <c r="I150" s="46"/>
      <c r="J150" s="46"/>
    </row>
    <row r="151" spans="1:14" x14ac:dyDescent="0.3">
      <c r="A151" s="46"/>
      <c r="B151" s="46" t="s">
        <v>118</v>
      </c>
      <c r="C151" s="46" t="s">
        <v>141</v>
      </c>
      <c r="D151" s="46" t="s">
        <v>139</v>
      </c>
      <c r="E151" s="46" t="s">
        <v>142</v>
      </c>
      <c r="F151" s="46"/>
      <c r="G151" s="46"/>
      <c r="H151" s="46"/>
      <c r="I151" s="46"/>
      <c r="J151" s="46"/>
    </row>
    <row r="152" spans="1:14" x14ac:dyDescent="0.3">
      <c r="A152" s="46"/>
      <c r="B152" s="46" t="s">
        <v>118</v>
      </c>
      <c r="C152" s="46" t="s">
        <v>141</v>
      </c>
      <c r="D152" s="46" t="s">
        <v>137</v>
      </c>
      <c r="E152" s="46" t="s">
        <v>143</v>
      </c>
      <c r="F152" s="46"/>
      <c r="G152" s="46"/>
      <c r="H152" s="46"/>
      <c r="I152" s="46"/>
      <c r="J152" s="46"/>
    </row>
    <row r="153" spans="1:14" x14ac:dyDescent="0.3">
      <c r="A153" s="46"/>
      <c r="B153" s="46" t="s">
        <v>144</v>
      </c>
      <c r="C153" s="46" t="s">
        <v>145</v>
      </c>
      <c r="D153" s="46" t="s">
        <v>137</v>
      </c>
      <c r="E153" s="46" t="s">
        <v>146</v>
      </c>
      <c r="F153" s="46"/>
      <c r="G153" s="46"/>
      <c r="H153" s="46"/>
      <c r="I153" s="46"/>
      <c r="J153" s="46"/>
    </row>
    <row r="154" spans="1:14" x14ac:dyDescent="0.3">
      <c r="A154" s="46"/>
      <c r="B154" s="46" t="s">
        <v>144</v>
      </c>
      <c r="C154" s="46" t="s">
        <v>145</v>
      </c>
      <c r="D154" s="46" t="s">
        <v>139</v>
      </c>
      <c r="E154" s="46" t="s">
        <v>147</v>
      </c>
      <c r="F154" s="46"/>
      <c r="G154" s="46"/>
      <c r="H154" s="46"/>
      <c r="I154" s="46"/>
      <c r="J154" s="46"/>
    </row>
    <row r="155" spans="1:14" x14ac:dyDescent="0.3">
      <c r="A155" s="46"/>
      <c r="B155" s="46" t="s">
        <v>144</v>
      </c>
      <c r="C155" s="46" t="s">
        <v>141</v>
      </c>
      <c r="D155" s="46" t="s">
        <v>137</v>
      </c>
      <c r="E155" s="46" t="s">
        <v>148</v>
      </c>
      <c r="F155" s="46"/>
      <c r="G155" s="46"/>
      <c r="H155" s="46"/>
      <c r="I155" s="46"/>
      <c r="J155" s="46"/>
    </row>
    <row r="156" spans="1:14" x14ac:dyDescent="0.3">
      <c r="A156" s="46"/>
      <c r="B156" s="46" t="s">
        <v>144</v>
      </c>
      <c r="C156" s="46" t="s">
        <v>141</v>
      </c>
      <c r="D156" s="46" t="s">
        <v>139</v>
      </c>
      <c r="E156" s="46" t="s">
        <v>149</v>
      </c>
      <c r="F156" s="46"/>
      <c r="G156" s="46"/>
      <c r="H156" s="46"/>
      <c r="I156" s="46"/>
      <c r="J156" s="46"/>
    </row>
    <row r="157" spans="1:14" x14ac:dyDescent="0.3">
      <c r="A157" s="46"/>
      <c r="B157" s="46" t="s">
        <v>144</v>
      </c>
      <c r="C157" s="46" t="s">
        <v>127</v>
      </c>
      <c r="D157" s="46" t="s">
        <v>139</v>
      </c>
      <c r="E157" s="46" t="s">
        <v>150</v>
      </c>
      <c r="F157" s="46"/>
      <c r="G157" s="46"/>
      <c r="H157" s="46"/>
      <c r="I157" s="46"/>
      <c r="J157" s="46"/>
    </row>
    <row r="158" spans="1:14" x14ac:dyDescent="0.3">
      <c r="A158" s="46"/>
      <c r="B158" s="46" t="s">
        <v>144</v>
      </c>
      <c r="C158" s="46" t="s">
        <v>127</v>
      </c>
      <c r="D158" s="46" t="s">
        <v>137</v>
      </c>
      <c r="E158" s="46" t="s">
        <v>151</v>
      </c>
      <c r="F158" s="46"/>
      <c r="G158" s="46"/>
      <c r="H158" s="46"/>
      <c r="I158" s="46"/>
      <c r="J158" s="46"/>
    </row>
    <row r="159" spans="1:14" x14ac:dyDescent="0.3">
      <c r="A159" s="46"/>
      <c r="B159" s="46"/>
      <c r="C159" s="46"/>
      <c r="D159" s="46"/>
      <c r="E159" s="46"/>
      <c r="F159" s="46"/>
      <c r="G159" s="46"/>
      <c r="H159" s="46"/>
      <c r="I159" s="46"/>
      <c r="J159" s="46"/>
    </row>
    <row r="160" spans="1:14" x14ac:dyDescent="0.3">
      <c r="A160" s="46"/>
      <c r="B160" s="46"/>
      <c r="C160" s="46"/>
      <c r="D160" s="46"/>
      <c r="E160" s="46"/>
      <c r="F160" s="46"/>
      <c r="G160" s="46"/>
      <c r="H160" s="46"/>
      <c r="I160" s="46"/>
      <c r="J160" s="46"/>
    </row>
  </sheetData>
  <sheetProtection algorithmName="SHA-512" hashValue="0R96D/BGokvmrm2H26ZQLg2cjFxC16gUDyO8FiaCMkgTgCm1plEv1jo+VhEHbEttqF/uO3rj66We7ozYv9PbcQ==" saltValue="GCebQSuwgtGlZHGfXQKAZQ==" spinCount="100000" sheet="1" objects="1" scenarios="1"/>
  <mergeCells count="5">
    <mergeCell ref="B146:H146"/>
    <mergeCell ref="B148:D148"/>
    <mergeCell ref="A1:J1"/>
    <mergeCell ref="A122:J122"/>
    <mergeCell ref="B3:I3"/>
  </mergeCells>
  <phoneticPr fontId="4" type="noConversion"/>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57C1-C13F-4EE6-8198-51DFCA71AA7B}">
  <sheetPr>
    <tabColor theme="8"/>
  </sheetPr>
  <dimension ref="A1:K48"/>
  <sheetViews>
    <sheetView topLeftCell="A15" zoomScale="90" zoomScaleNormal="90" workbookViewId="0">
      <selection activeCell="B50" sqref="B50"/>
    </sheetView>
  </sheetViews>
  <sheetFormatPr baseColWidth="10" defaultColWidth="11.44140625" defaultRowHeight="14.4" x14ac:dyDescent="0.3"/>
  <cols>
    <col min="1" max="1" width="27" customWidth="1"/>
    <col min="2" max="2" width="27.33203125" customWidth="1"/>
    <col min="3" max="3" width="20.88671875" bestFit="1" customWidth="1"/>
    <col min="4" max="4" width="17.44140625" customWidth="1"/>
    <col min="5" max="5" width="18" bestFit="1" customWidth="1"/>
    <col min="6" max="6" width="27.44140625" customWidth="1"/>
    <col min="7" max="7" width="27.33203125" bestFit="1" customWidth="1"/>
    <col min="8" max="8" width="25.44140625" customWidth="1"/>
    <col min="9" max="9" width="21.44140625" customWidth="1"/>
    <col min="10" max="10" width="20.109375" bestFit="1" customWidth="1"/>
    <col min="11" max="11" width="16.88671875" bestFit="1" customWidth="1"/>
    <col min="12" max="12" width="12.109375" bestFit="1" customWidth="1"/>
  </cols>
  <sheetData>
    <row r="1" spans="1:8" ht="15" thickBot="1" x14ac:dyDescent="0.35"/>
    <row r="2" spans="1:8" ht="18.600000000000001" thickBot="1" x14ac:dyDescent="0.4">
      <c r="A2" s="276" t="s">
        <v>88</v>
      </c>
      <c r="B2" s="277"/>
      <c r="C2" s="277"/>
      <c r="D2" s="277"/>
      <c r="E2" s="277"/>
      <c r="F2" s="277"/>
      <c r="G2" s="277"/>
      <c r="H2" s="278"/>
    </row>
    <row r="3" spans="1:8" x14ac:dyDescent="0.3">
      <c r="A3" s="21"/>
      <c r="B3" s="78"/>
      <c r="C3" s="78"/>
      <c r="D3" s="78"/>
      <c r="E3" s="78"/>
      <c r="F3" s="78"/>
      <c r="G3" s="78"/>
      <c r="H3" s="22"/>
    </row>
    <row r="4" spans="1:8" x14ac:dyDescent="0.3">
      <c r="A4" s="31" t="s">
        <v>89</v>
      </c>
      <c r="B4" s="29"/>
      <c r="C4" s="29"/>
      <c r="D4" s="29"/>
      <c r="E4" s="29"/>
      <c r="F4" s="78"/>
      <c r="G4" s="78"/>
      <c r="H4" s="22"/>
    </row>
    <row r="5" spans="1:8" x14ac:dyDescent="0.3">
      <c r="A5" s="21"/>
      <c r="B5" s="76" t="s">
        <v>90</v>
      </c>
      <c r="C5" s="76" t="s">
        <v>295</v>
      </c>
      <c r="D5" s="76" t="s">
        <v>52</v>
      </c>
      <c r="E5" s="76" t="s">
        <v>297</v>
      </c>
      <c r="F5" s="76" t="s">
        <v>296</v>
      </c>
      <c r="G5" s="78"/>
      <c r="H5" s="22"/>
    </row>
    <row r="6" spans="1:8" x14ac:dyDescent="0.3">
      <c r="A6" s="77" t="s">
        <v>38</v>
      </c>
      <c r="B6" s="79">
        <v>0.5</v>
      </c>
      <c r="C6" s="79">
        <v>3.2</v>
      </c>
      <c r="D6" s="79" t="s">
        <v>180</v>
      </c>
      <c r="E6" s="79">
        <v>0</v>
      </c>
      <c r="F6" s="79">
        <v>0</v>
      </c>
      <c r="G6" s="78"/>
      <c r="H6" s="22"/>
    </row>
    <row r="7" spans="1:8" x14ac:dyDescent="0.3">
      <c r="A7" s="77" t="s">
        <v>39</v>
      </c>
      <c r="B7" s="79">
        <v>0.7</v>
      </c>
      <c r="C7" s="79">
        <v>1.9</v>
      </c>
      <c r="D7" s="79">
        <v>0</v>
      </c>
      <c r="E7" s="79">
        <v>0.6</v>
      </c>
      <c r="F7" s="79">
        <v>0.4</v>
      </c>
      <c r="G7" s="78"/>
      <c r="H7" s="22"/>
    </row>
    <row r="8" spans="1:8" x14ac:dyDescent="0.3">
      <c r="A8" s="77" t="s">
        <v>91</v>
      </c>
      <c r="B8" s="79">
        <v>1.1000000000000001</v>
      </c>
      <c r="C8" s="79">
        <v>3.2</v>
      </c>
      <c r="D8" s="79">
        <v>2.2999999999999998</v>
      </c>
      <c r="E8" s="79">
        <v>0</v>
      </c>
      <c r="F8" s="79">
        <v>0.2</v>
      </c>
      <c r="G8" s="78"/>
      <c r="H8" s="22"/>
    </row>
    <row r="9" spans="1:8" x14ac:dyDescent="0.3">
      <c r="A9" s="77" t="s">
        <v>92</v>
      </c>
      <c r="B9" s="79">
        <v>0.7</v>
      </c>
      <c r="C9" s="79">
        <v>4</v>
      </c>
      <c r="D9" s="79">
        <v>0.3</v>
      </c>
      <c r="E9" s="79">
        <v>0</v>
      </c>
      <c r="F9" s="79">
        <v>0.2</v>
      </c>
      <c r="G9" s="78"/>
      <c r="H9" s="22"/>
    </row>
    <row r="10" spans="1:8" x14ac:dyDescent="0.3">
      <c r="A10" s="77" t="s">
        <v>93</v>
      </c>
      <c r="B10" s="79">
        <v>0.1</v>
      </c>
      <c r="C10" s="79">
        <v>0.7</v>
      </c>
      <c r="D10" s="79">
        <v>0</v>
      </c>
      <c r="E10" s="79">
        <v>0.1</v>
      </c>
      <c r="F10" s="79">
        <v>0.1</v>
      </c>
      <c r="G10" s="78"/>
      <c r="H10" s="22"/>
    </row>
    <row r="11" spans="1:8" x14ac:dyDescent="0.3">
      <c r="A11" s="77" t="s">
        <v>94</v>
      </c>
      <c r="B11" s="79">
        <v>0.4</v>
      </c>
      <c r="C11" s="79">
        <v>1.8</v>
      </c>
      <c r="D11" s="79">
        <v>0.2</v>
      </c>
      <c r="E11" s="79">
        <v>0.1</v>
      </c>
      <c r="F11" s="79">
        <v>0</v>
      </c>
      <c r="G11" s="78"/>
      <c r="H11" s="22"/>
    </row>
    <row r="12" spans="1:8" x14ac:dyDescent="0.3">
      <c r="A12" s="77" t="s">
        <v>298</v>
      </c>
      <c r="B12" s="79">
        <v>1.3</v>
      </c>
      <c r="C12" s="79">
        <v>11.5</v>
      </c>
      <c r="D12" s="79" t="s">
        <v>180</v>
      </c>
      <c r="E12" s="79" t="s">
        <v>180</v>
      </c>
      <c r="F12" s="79" t="s">
        <v>180</v>
      </c>
      <c r="G12" s="78"/>
      <c r="H12" s="22"/>
    </row>
    <row r="13" spans="1:8" x14ac:dyDescent="0.3">
      <c r="A13" s="77" t="s">
        <v>95</v>
      </c>
      <c r="B13" s="79">
        <v>4.5</v>
      </c>
      <c r="C13" s="79">
        <f>SUM(C6:C12)</f>
        <v>26.3</v>
      </c>
      <c r="D13" s="79">
        <v>2.7</v>
      </c>
      <c r="E13" s="79">
        <v>1</v>
      </c>
      <c r="F13" s="79">
        <v>0.9</v>
      </c>
      <c r="G13" s="78"/>
      <c r="H13" s="22"/>
    </row>
    <row r="14" spans="1:8" x14ac:dyDescent="0.3">
      <c r="A14" s="21"/>
      <c r="B14" s="78"/>
      <c r="C14" s="78"/>
      <c r="D14" s="78"/>
      <c r="E14" s="78"/>
      <c r="F14" s="78"/>
      <c r="G14" s="78"/>
      <c r="H14" s="22"/>
    </row>
    <row r="15" spans="1:8" x14ac:dyDescent="0.3">
      <c r="A15" s="21" t="s">
        <v>96</v>
      </c>
      <c r="B15" s="78"/>
      <c r="C15" s="78"/>
      <c r="D15" s="78"/>
      <c r="E15" s="78"/>
      <c r="F15" s="78"/>
      <c r="G15" s="78"/>
      <c r="H15" s="22"/>
    </row>
    <row r="16" spans="1:8" x14ac:dyDescent="0.3">
      <c r="A16" s="21" t="s">
        <v>97</v>
      </c>
      <c r="B16" s="78"/>
      <c r="C16" s="78"/>
      <c r="D16" s="78"/>
      <c r="E16" s="78"/>
      <c r="F16" s="78"/>
      <c r="G16" s="78"/>
      <c r="H16" s="22"/>
    </row>
    <row r="17" spans="1:11" x14ac:dyDescent="0.3">
      <c r="A17" s="21" t="s">
        <v>98</v>
      </c>
      <c r="B17" s="78"/>
      <c r="C17" s="78"/>
      <c r="D17" s="78"/>
      <c r="E17" s="78"/>
      <c r="F17" s="78"/>
      <c r="G17" s="78"/>
      <c r="H17" s="22"/>
    </row>
    <row r="18" spans="1:11" x14ac:dyDescent="0.3">
      <c r="A18" s="21" t="s">
        <v>99</v>
      </c>
      <c r="B18" s="78"/>
      <c r="C18" s="78"/>
      <c r="D18" s="78"/>
      <c r="E18" s="78"/>
      <c r="F18" s="78"/>
      <c r="G18" s="78"/>
      <c r="H18" s="22"/>
    </row>
    <row r="19" spans="1:11" x14ac:dyDescent="0.3">
      <c r="A19" s="21" t="s">
        <v>100</v>
      </c>
      <c r="B19" s="78"/>
      <c r="C19" s="78"/>
      <c r="D19" s="78"/>
      <c r="E19" s="78"/>
      <c r="F19" s="78"/>
      <c r="G19" s="78"/>
      <c r="H19" s="22"/>
    </row>
    <row r="20" spans="1:11" x14ac:dyDescent="0.3">
      <c r="A20" s="21" t="s">
        <v>101</v>
      </c>
      <c r="B20" s="78"/>
      <c r="C20" s="78"/>
      <c r="D20" s="78"/>
      <c r="E20" s="78"/>
      <c r="F20" s="78"/>
      <c r="G20" s="78"/>
      <c r="H20" s="22"/>
    </row>
    <row r="21" spans="1:11" x14ac:dyDescent="0.3">
      <c r="A21" s="21"/>
      <c r="B21" s="78"/>
      <c r="C21" s="78"/>
      <c r="D21" s="78"/>
      <c r="E21" s="78"/>
      <c r="F21" s="78"/>
      <c r="G21" s="78"/>
      <c r="H21" s="22"/>
    </row>
    <row r="22" spans="1:11" ht="15" thickBot="1" x14ac:dyDescent="0.35">
      <c r="A22" s="23"/>
      <c r="B22" s="24"/>
      <c r="C22" s="24"/>
      <c r="D22" s="24"/>
      <c r="E22" s="24"/>
      <c r="F22" s="24"/>
      <c r="G22" s="24"/>
      <c r="H22" s="25"/>
    </row>
    <row r="25" spans="1:11" x14ac:dyDescent="0.3">
      <c r="A25" s="27" t="s">
        <v>320</v>
      </c>
      <c r="B25" s="27" t="s">
        <v>21</v>
      </c>
      <c r="C25" t="s">
        <v>38</v>
      </c>
      <c r="D25" t="s">
        <v>39</v>
      </c>
      <c r="E25" t="s">
        <v>40</v>
      </c>
      <c r="F25" t="s">
        <v>41</v>
      </c>
      <c r="G25" t="s">
        <v>42</v>
      </c>
      <c r="H25" t="s">
        <v>43</v>
      </c>
      <c r="I25" t="s">
        <v>298</v>
      </c>
      <c r="J25" t="s">
        <v>37</v>
      </c>
      <c r="K25" t="s">
        <v>293</v>
      </c>
    </row>
    <row r="26" spans="1:11" x14ac:dyDescent="0.3">
      <c r="A26" t="s">
        <v>9</v>
      </c>
      <c r="B26" t="s">
        <v>78</v>
      </c>
      <c r="C26" s="26">
        <f>$C$6/100</f>
        <v>3.2000000000000001E-2</v>
      </c>
      <c r="D26" s="26">
        <f>$C$7/100</f>
        <v>1.9E-2</v>
      </c>
      <c r="E26" s="26">
        <f>$C$8/100</f>
        <v>3.2000000000000001E-2</v>
      </c>
      <c r="F26" s="26">
        <f>$C$9/100</f>
        <v>0.04</v>
      </c>
      <c r="G26" s="26">
        <f>$C$10/100</f>
        <v>6.9999999999999993E-3</v>
      </c>
      <c r="H26" s="26">
        <f>$C$11/100</f>
        <v>1.8000000000000002E-2</v>
      </c>
      <c r="I26" s="26">
        <f>$C$12/100</f>
        <v>0.115</v>
      </c>
      <c r="J26">
        <f>SUM(Tableau5[[#This Row],[Accidents]:[Congestion ]])</f>
        <v>0.26300000000000001</v>
      </c>
      <c r="K26" t="s">
        <v>294</v>
      </c>
    </row>
    <row r="27" spans="1:11" x14ac:dyDescent="0.3">
      <c r="A27" t="s">
        <v>9</v>
      </c>
      <c r="B27" t="s">
        <v>23</v>
      </c>
      <c r="C27">
        <f>$B$6/100</f>
        <v>5.0000000000000001E-3</v>
      </c>
      <c r="D27">
        <f>$B$7/100</f>
        <v>6.9999999999999993E-3</v>
      </c>
      <c r="E27">
        <f>$B$8/100</f>
        <v>1.1000000000000001E-2</v>
      </c>
      <c r="F27">
        <f>$B$9/100</f>
        <v>6.9999999999999993E-3</v>
      </c>
      <c r="G27">
        <f>$B$10/100</f>
        <v>1E-3</v>
      </c>
      <c r="H27">
        <f>$B$11/100</f>
        <v>4.0000000000000001E-3</v>
      </c>
      <c r="I27">
        <f t="shared" ref="I27:I34" si="0">$B$12/100</f>
        <v>1.3000000000000001E-2</v>
      </c>
      <c r="J27">
        <f>SUM(Tableau5[[#This Row],[Accidents]:[Congestion ]])</f>
        <v>4.8000000000000001E-2</v>
      </c>
      <c r="K27" t="s">
        <v>294</v>
      </c>
    </row>
    <row r="28" spans="1:11" x14ac:dyDescent="0.3">
      <c r="A28" t="s">
        <v>9</v>
      </c>
      <c r="B28" t="s">
        <v>81</v>
      </c>
      <c r="C28">
        <f t="shared" ref="C28:C34" si="1">$B$6/100</f>
        <v>5.0000000000000001E-3</v>
      </c>
      <c r="D28">
        <f t="shared" ref="D28:D34" si="2">$B$7/100</f>
        <v>6.9999999999999993E-3</v>
      </c>
      <c r="E28">
        <f t="shared" ref="E28:E34" si="3">$B$8/100</f>
        <v>1.1000000000000001E-2</v>
      </c>
      <c r="F28">
        <f t="shared" ref="F28:F34" si="4">$B$9/100</f>
        <v>6.9999999999999993E-3</v>
      </c>
      <c r="G28">
        <f t="shared" ref="G28:G34" si="5">$B$10/100</f>
        <v>1E-3</v>
      </c>
      <c r="H28">
        <f t="shared" ref="H28:H34" si="6">$B$11/100</f>
        <v>4.0000000000000001E-3</v>
      </c>
      <c r="I28">
        <f t="shared" si="0"/>
        <v>1.3000000000000001E-2</v>
      </c>
      <c r="J28">
        <f>SUM(Tableau5[[#This Row],[Accidents]:[Congestion ]])</f>
        <v>4.8000000000000001E-2</v>
      </c>
      <c r="K28" t="s">
        <v>294</v>
      </c>
    </row>
    <row r="29" spans="1:11" x14ac:dyDescent="0.3">
      <c r="A29" t="s">
        <v>9</v>
      </c>
      <c r="B29" t="s">
        <v>82</v>
      </c>
      <c r="C29">
        <f t="shared" si="1"/>
        <v>5.0000000000000001E-3</v>
      </c>
      <c r="D29">
        <f t="shared" si="2"/>
        <v>6.9999999999999993E-3</v>
      </c>
      <c r="E29">
        <f t="shared" si="3"/>
        <v>1.1000000000000001E-2</v>
      </c>
      <c r="F29">
        <f t="shared" si="4"/>
        <v>6.9999999999999993E-3</v>
      </c>
      <c r="G29">
        <f t="shared" si="5"/>
        <v>1E-3</v>
      </c>
      <c r="H29">
        <f t="shared" si="6"/>
        <v>4.0000000000000001E-3</v>
      </c>
      <c r="I29">
        <f t="shared" si="0"/>
        <v>1.3000000000000001E-2</v>
      </c>
      <c r="J29">
        <f>SUM(Tableau5[[#This Row],[Accidents]:[Congestion ]])</f>
        <v>4.8000000000000001E-2</v>
      </c>
      <c r="K29" t="s">
        <v>294</v>
      </c>
    </row>
    <row r="30" spans="1:11" x14ac:dyDescent="0.3">
      <c r="A30" t="s">
        <v>9</v>
      </c>
      <c r="B30" t="s">
        <v>83</v>
      </c>
      <c r="C30">
        <f t="shared" si="1"/>
        <v>5.0000000000000001E-3</v>
      </c>
      <c r="D30">
        <f t="shared" si="2"/>
        <v>6.9999999999999993E-3</v>
      </c>
      <c r="E30">
        <f t="shared" si="3"/>
        <v>1.1000000000000001E-2</v>
      </c>
      <c r="F30">
        <f t="shared" si="4"/>
        <v>6.9999999999999993E-3</v>
      </c>
      <c r="G30">
        <f t="shared" si="5"/>
        <v>1E-3</v>
      </c>
      <c r="H30">
        <f t="shared" si="6"/>
        <v>4.0000000000000001E-3</v>
      </c>
      <c r="I30">
        <f t="shared" si="0"/>
        <v>1.3000000000000001E-2</v>
      </c>
      <c r="J30">
        <f>SUM(Tableau5[[#This Row],[Accidents]:[Congestion ]])</f>
        <v>4.8000000000000001E-2</v>
      </c>
      <c r="K30" t="s">
        <v>294</v>
      </c>
    </row>
    <row r="31" spans="1:11" x14ac:dyDescent="0.3">
      <c r="A31" t="s">
        <v>9</v>
      </c>
      <c r="B31" t="s">
        <v>84</v>
      </c>
      <c r="C31">
        <f t="shared" si="1"/>
        <v>5.0000000000000001E-3</v>
      </c>
      <c r="D31">
        <f t="shared" si="2"/>
        <v>6.9999999999999993E-3</v>
      </c>
      <c r="E31">
        <f t="shared" si="3"/>
        <v>1.1000000000000001E-2</v>
      </c>
      <c r="F31">
        <f t="shared" si="4"/>
        <v>6.9999999999999993E-3</v>
      </c>
      <c r="G31">
        <f t="shared" si="5"/>
        <v>1E-3</v>
      </c>
      <c r="H31">
        <f t="shared" si="6"/>
        <v>4.0000000000000001E-3</v>
      </c>
      <c r="I31">
        <f t="shared" si="0"/>
        <v>1.3000000000000001E-2</v>
      </c>
      <c r="J31">
        <f>SUM(Tableau5[[#This Row],[Accidents]:[Congestion ]])</f>
        <v>4.8000000000000001E-2</v>
      </c>
      <c r="K31" t="s">
        <v>294</v>
      </c>
    </row>
    <row r="32" spans="1:11" x14ac:dyDescent="0.3">
      <c r="A32" t="s">
        <v>9</v>
      </c>
      <c r="B32" t="s">
        <v>85</v>
      </c>
      <c r="C32">
        <f t="shared" si="1"/>
        <v>5.0000000000000001E-3</v>
      </c>
      <c r="D32">
        <f t="shared" si="2"/>
        <v>6.9999999999999993E-3</v>
      </c>
      <c r="E32">
        <f t="shared" si="3"/>
        <v>1.1000000000000001E-2</v>
      </c>
      <c r="F32">
        <f t="shared" si="4"/>
        <v>6.9999999999999993E-3</v>
      </c>
      <c r="G32">
        <f t="shared" si="5"/>
        <v>1E-3</v>
      </c>
      <c r="H32">
        <f t="shared" si="6"/>
        <v>4.0000000000000001E-3</v>
      </c>
      <c r="I32">
        <f t="shared" si="0"/>
        <v>1.3000000000000001E-2</v>
      </c>
      <c r="J32">
        <f>SUM(Tableau5[[#This Row],[Accidents]:[Congestion ]])</f>
        <v>4.8000000000000001E-2</v>
      </c>
      <c r="K32" t="s">
        <v>294</v>
      </c>
    </row>
    <row r="33" spans="1:11" x14ac:dyDescent="0.3">
      <c r="A33" t="s">
        <v>9</v>
      </c>
      <c r="B33" t="s">
        <v>86</v>
      </c>
      <c r="C33">
        <f t="shared" si="1"/>
        <v>5.0000000000000001E-3</v>
      </c>
      <c r="D33">
        <f t="shared" si="2"/>
        <v>6.9999999999999993E-3</v>
      </c>
      <c r="E33">
        <f t="shared" si="3"/>
        <v>1.1000000000000001E-2</v>
      </c>
      <c r="F33">
        <f t="shared" si="4"/>
        <v>6.9999999999999993E-3</v>
      </c>
      <c r="G33">
        <f t="shared" si="5"/>
        <v>1E-3</v>
      </c>
      <c r="H33">
        <f t="shared" si="6"/>
        <v>4.0000000000000001E-3</v>
      </c>
      <c r="I33">
        <f t="shared" si="0"/>
        <v>1.3000000000000001E-2</v>
      </c>
      <c r="J33">
        <f>SUM(Tableau5[[#This Row],[Accidents]:[Congestion ]])</f>
        <v>4.8000000000000001E-2</v>
      </c>
      <c r="K33" t="s">
        <v>294</v>
      </c>
    </row>
    <row r="34" spans="1:11" x14ac:dyDescent="0.3">
      <c r="A34" t="s">
        <v>9</v>
      </c>
      <c r="B34" t="s">
        <v>87</v>
      </c>
      <c r="C34">
        <f t="shared" si="1"/>
        <v>5.0000000000000001E-3</v>
      </c>
      <c r="D34">
        <f t="shared" si="2"/>
        <v>6.9999999999999993E-3</v>
      </c>
      <c r="E34">
        <f t="shared" si="3"/>
        <v>1.1000000000000001E-2</v>
      </c>
      <c r="F34">
        <f t="shared" si="4"/>
        <v>6.9999999999999993E-3</v>
      </c>
      <c r="G34">
        <f t="shared" si="5"/>
        <v>1E-3</v>
      </c>
      <c r="H34">
        <f t="shared" si="6"/>
        <v>4.0000000000000001E-3</v>
      </c>
      <c r="I34">
        <f t="shared" si="0"/>
        <v>1.3000000000000001E-2</v>
      </c>
      <c r="J34">
        <f>SUM(Tableau5[[#This Row],[Accidents]:[Congestion ]])</f>
        <v>4.8000000000000001E-2</v>
      </c>
      <c r="K34" t="s">
        <v>294</v>
      </c>
    </row>
    <row r="35" spans="1:11" x14ac:dyDescent="0.3">
      <c r="A35" t="s">
        <v>52</v>
      </c>
      <c r="B35" t="s">
        <v>71</v>
      </c>
      <c r="C35" t="str">
        <f>$D$6</f>
        <v>-</v>
      </c>
      <c r="D35">
        <f>$D$7/100</f>
        <v>0</v>
      </c>
      <c r="E35">
        <f>$D$8/100</f>
        <v>2.3E-2</v>
      </c>
      <c r="F35">
        <f>$D$9/100</f>
        <v>3.0000000000000001E-3</v>
      </c>
      <c r="G35">
        <f>$D$10/100</f>
        <v>0</v>
      </c>
      <c r="H35">
        <f>$D$11/100</f>
        <v>2E-3</v>
      </c>
      <c r="I35" t="str">
        <f>$D$6</f>
        <v>-</v>
      </c>
      <c r="J35">
        <f>SUM(Tableau5[[#This Row],[Accidents]:[Congestion ]])</f>
        <v>2.7999999999999997E-2</v>
      </c>
      <c r="K35" t="s">
        <v>294</v>
      </c>
    </row>
    <row r="36" spans="1:11" x14ac:dyDescent="0.3">
      <c r="A36" t="s">
        <v>52</v>
      </c>
      <c r="B36" t="s">
        <v>64</v>
      </c>
      <c r="C36" t="str">
        <f t="shared" ref="C36:C46" si="7">$D$6</f>
        <v>-</v>
      </c>
      <c r="D36">
        <f t="shared" ref="D36:D46" si="8">$D$7/100</f>
        <v>0</v>
      </c>
      <c r="E36">
        <f t="shared" ref="E36:E46" si="9">$D$8/100</f>
        <v>2.3E-2</v>
      </c>
      <c r="F36">
        <f t="shared" ref="F36:F46" si="10">$D$9/100</f>
        <v>3.0000000000000001E-3</v>
      </c>
      <c r="G36">
        <f t="shared" ref="G36:G46" si="11">$D$10/100</f>
        <v>0</v>
      </c>
      <c r="H36">
        <f t="shared" ref="H36:H46" si="12">$D$11/100</f>
        <v>2E-3</v>
      </c>
      <c r="I36" t="str">
        <f t="shared" ref="I36:I46" si="13">$D$6</f>
        <v>-</v>
      </c>
      <c r="J36">
        <f>SUM(Tableau5[[#This Row],[Accidents]:[Congestion ]])</f>
        <v>2.7999999999999997E-2</v>
      </c>
      <c r="K36" t="s">
        <v>294</v>
      </c>
    </row>
    <row r="37" spans="1:11" x14ac:dyDescent="0.3">
      <c r="A37" t="s">
        <v>52</v>
      </c>
      <c r="B37" t="s">
        <v>68</v>
      </c>
      <c r="C37" t="str">
        <f t="shared" si="7"/>
        <v>-</v>
      </c>
      <c r="D37">
        <f t="shared" si="8"/>
        <v>0</v>
      </c>
      <c r="E37">
        <f t="shared" si="9"/>
        <v>2.3E-2</v>
      </c>
      <c r="F37">
        <f t="shared" si="10"/>
        <v>3.0000000000000001E-3</v>
      </c>
      <c r="G37">
        <f t="shared" si="11"/>
        <v>0</v>
      </c>
      <c r="H37">
        <f t="shared" si="12"/>
        <v>2E-3</v>
      </c>
      <c r="I37" t="str">
        <f t="shared" si="13"/>
        <v>-</v>
      </c>
      <c r="J37">
        <f>SUM(Tableau5[[#This Row],[Accidents]:[Congestion ]])</f>
        <v>2.7999999999999997E-2</v>
      </c>
      <c r="K37" t="s">
        <v>294</v>
      </c>
    </row>
    <row r="38" spans="1:11" x14ac:dyDescent="0.3">
      <c r="A38" t="s">
        <v>52</v>
      </c>
      <c r="B38" t="s">
        <v>61</v>
      </c>
      <c r="C38" t="str">
        <f t="shared" si="7"/>
        <v>-</v>
      </c>
      <c r="D38">
        <f t="shared" si="8"/>
        <v>0</v>
      </c>
      <c r="E38">
        <f t="shared" si="9"/>
        <v>2.3E-2</v>
      </c>
      <c r="F38">
        <f t="shared" si="10"/>
        <v>3.0000000000000001E-3</v>
      </c>
      <c r="G38">
        <f t="shared" si="11"/>
        <v>0</v>
      </c>
      <c r="H38">
        <f t="shared" si="12"/>
        <v>2E-3</v>
      </c>
      <c r="I38" t="str">
        <f t="shared" si="13"/>
        <v>-</v>
      </c>
      <c r="J38">
        <f>SUM(Tableau5[[#This Row],[Accidents]:[Congestion ]])</f>
        <v>2.7999999999999997E-2</v>
      </c>
      <c r="K38" t="s">
        <v>294</v>
      </c>
    </row>
    <row r="39" spans="1:11" x14ac:dyDescent="0.3">
      <c r="A39" t="s">
        <v>52</v>
      </c>
      <c r="B39" t="s">
        <v>70</v>
      </c>
      <c r="C39" t="str">
        <f t="shared" si="7"/>
        <v>-</v>
      </c>
      <c r="D39">
        <f t="shared" si="8"/>
        <v>0</v>
      </c>
      <c r="E39">
        <f t="shared" si="9"/>
        <v>2.3E-2</v>
      </c>
      <c r="F39">
        <f t="shared" si="10"/>
        <v>3.0000000000000001E-3</v>
      </c>
      <c r="G39">
        <f t="shared" si="11"/>
        <v>0</v>
      </c>
      <c r="H39">
        <f t="shared" si="12"/>
        <v>2E-3</v>
      </c>
      <c r="I39" t="str">
        <f t="shared" si="13"/>
        <v>-</v>
      </c>
      <c r="J39">
        <f>SUM(Tableau5[[#This Row],[Accidents]:[Congestion ]])</f>
        <v>2.7999999999999997E-2</v>
      </c>
      <c r="K39" t="s">
        <v>294</v>
      </c>
    </row>
    <row r="40" spans="1:11" x14ac:dyDescent="0.3">
      <c r="A40" t="s">
        <v>52</v>
      </c>
      <c r="B40" t="s">
        <v>69</v>
      </c>
      <c r="C40" t="str">
        <f t="shared" si="7"/>
        <v>-</v>
      </c>
      <c r="D40">
        <f t="shared" si="8"/>
        <v>0</v>
      </c>
      <c r="E40">
        <f t="shared" si="9"/>
        <v>2.3E-2</v>
      </c>
      <c r="F40">
        <f t="shared" si="10"/>
        <v>3.0000000000000001E-3</v>
      </c>
      <c r="G40">
        <f t="shared" si="11"/>
        <v>0</v>
      </c>
      <c r="H40">
        <f t="shared" si="12"/>
        <v>2E-3</v>
      </c>
      <c r="I40" t="str">
        <f t="shared" si="13"/>
        <v>-</v>
      </c>
      <c r="J40">
        <f>SUM(Tableau5[[#This Row],[Accidents]:[Congestion ]])</f>
        <v>2.7999999999999997E-2</v>
      </c>
      <c r="K40" t="s">
        <v>294</v>
      </c>
    </row>
    <row r="41" spans="1:11" x14ac:dyDescent="0.3">
      <c r="A41" t="s">
        <v>52</v>
      </c>
      <c r="B41" t="s">
        <v>103</v>
      </c>
      <c r="C41" t="str">
        <f t="shared" si="7"/>
        <v>-</v>
      </c>
      <c r="D41">
        <f t="shared" si="8"/>
        <v>0</v>
      </c>
      <c r="E41">
        <f t="shared" si="9"/>
        <v>2.3E-2</v>
      </c>
      <c r="F41">
        <f t="shared" si="10"/>
        <v>3.0000000000000001E-3</v>
      </c>
      <c r="G41">
        <f t="shared" si="11"/>
        <v>0</v>
      </c>
      <c r="H41">
        <f t="shared" si="12"/>
        <v>2E-3</v>
      </c>
      <c r="I41" t="str">
        <f t="shared" si="13"/>
        <v>-</v>
      </c>
      <c r="J41">
        <f>SUM(Tableau5[[#This Row],[Accidents]:[Congestion ]])</f>
        <v>2.7999999999999997E-2</v>
      </c>
      <c r="K41" t="s">
        <v>294</v>
      </c>
    </row>
    <row r="42" spans="1:11" x14ac:dyDescent="0.3">
      <c r="A42" t="s">
        <v>52</v>
      </c>
      <c r="B42" t="s">
        <v>104</v>
      </c>
      <c r="C42" t="str">
        <f t="shared" si="7"/>
        <v>-</v>
      </c>
      <c r="D42">
        <f t="shared" si="8"/>
        <v>0</v>
      </c>
      <c r="E42">
        <f t="shared" si="9"/>
        <v>2.3E-2</v>
      </c>
      <c r="F42">
        <f t="shared" si="10"/>
        <v>3.0000000000000001E-3</v>
      </c>
      <c r="G42">
        <f t="shared" si="11"/>
        <v>0</v>
      </c>
      <c r="H42">
        <f t="shared" si="12"/>
        <v>2E-3</v>
      </c>
      <c r="I42" t="str">
        <f t="shared" si="13"/>
        <v>-</v>
      </c>
      <c r="J42">
        <f>SUM(Tableau5[[#This Row],[Accidents]:[Congestion ]])</f>
        <v>2.7999999999999997E-2</v>
      </c>
      <c r="K42" t="s">
        <v>294</v>
      </c>
    </row>
    <row r="43" spans="1:11" x14ac:dyDescent="0.3">
      <c r="A43" t="s">
        <v>52</v>
      </c>
      <c r="B43" t="s">
        <v>55</v>
      </c>
      <c r="C43" t="str">
        <f t="shared" si="7"/>
        <v>-</v>
      </c>
      <c r="D43">
        <f t="shared" si="8"/>
        <v>0</v>
      </c>
      <c r="E43">
        <f t="shared" si="9"/>
        <v>2.3E-2</v>
      </c>
      <c r="F43">
        <f t="shared" si="10"/>
        <v>3.0000000000000001E-3</v>
      </c>
      <c r="G43">
        <f t="shared" si="11"/>
        <v>0</v>
      </c>
      <c r="H43">
        <f t="shared" si="12"/>
        <v>2E-3</v>
      </c>
      <c r="I43" t="str">
        <f t="shared" si="13"/>
        <v>-</v>
      </c>
      <c r="J43">
        <f>SUM(Tableau5[[#This Row],[Accidents]:[Congestion ]])</f>
        <v>2.7999999999999997E-2</v>
      </c>
      <c r="K43" t="s">
        <v>294</v>
      </c>
    </row>
    <row r="44" spans="1:11" x14ac:dyDescent="0.3">
      <c r="A44" t="s">
        <v>52</v>
      </c>
      <c r="B44" t="s">
        <v>59</v>
      </c>
      <c r="C44" t="str">
        <f t="shared" si="7"/>
        <v>-</v>
      </c>
      <c r="D44">
        <f t="shared" si="8"/>
        <v>0</v>
      </c>
      <c r="E44">
        <f t="shared" si="9"/>
        <v>2.3E-2</v>
      </c>
      <c r="F44">
        <f t="shared" si="10"/>
        <v>3.0000000000000001E-3</v>
      </c>
      <c r="G44">
        <f t="shared" si="11"/>
        <v>0</v>
      </c>
      <c r="H44">
        <f t="shared" si="12"/>
        <v>2E-3</v>
      </c>
      <c r="I44" t="str">
        <f t="shared" si="13"/>
        <v>-</v>
      </c>
      <c r="J44">
        <f>SUM(Tableau5[[#This Row],[Accidents]:[Congestion ]])</f>
        <v>2.7999999999999997E-2</v>
      </c>
      <c r="K44" t="s">
        <v>294</v>
      </c>
    </row>
    <row r="45" spans="1:11" x14ac:dyDescent="0.3">
      <c r="A45" t="s">
        <v>52</v>
      </c>
      <c r="B45" t="s">
        <v>58</v>
      </c>
      <c r="C45" t="str">
        <f t="shared" si="7"/>
        <v>-</v>
      </c>
      <c r="D45">
        <f t="shared" si="8"/>
        <v>0</v>
      </c>
      <c r="E45">
        <f t="shared" si="9"/>
        <v>2.3E-2</v>
      </c>
      <c r="F45">
        <f t="shared" si="10"/>
        <v>3.0000000000000001E-3</v>
      </c>
      <c r="G45">
        <f t="shared" si="11"/>
        <v>0</v>
      </c>
      <c r="H45">
        <f t="shared" si="12"/>
        <v>2E-3</v>
      </c>
      <c r="I45" t="str">
        <f t="shared" si="13"/>
        <v>-</v>
      </c>
      <c r="J45">
        <f>SUM(Tableau5[[#This Row],[Accidents]:[Congestion ]])</f>
        <v>2.7999999999999997E-2</v>
      </c>
      <c r="K45" t="s">
        <v>294</v>
      </c>
    </row>
    <row r="46" spans="1:11" x14ac:dyDescent="0.3">
      <c r="A46" t="s">
        <v>52</v>
      </c>
      <c r="B46" t="s">
        <v>60</v>
      </c>
      <c r="C46" t="str">
        <f t="shared" si="7"/>
        <v>-</v>
      </c>
      <c r="D46">
        <f t="shared" si="8"/>
        <v>0</v>
      </c>
      <c r="E46">
        <f t="shared" si="9"/>
        <v>2.3E-2</v>
      </c>
      <c r="F46">
        <f t="shared" si="10"/>
        <v>3.0000000000000001E-3</v>
      </c>
      <c r="G46">
        <f t="shared" si="11"/>
        <v>0</v>
      </c>
      <c r="H46">
        <f t="shared" si="12"/>
        <v>2E-3</v>
      </c>
      <c r="I46" t="str">
        <f t="shared" si="13"/>
        <v>-</v>
      </c>
      <c r="J46">
        <f>SUM(Tableau5[[#This Row],[Accidents]:[Congestion ]])</f>
        <v>2.7999999999999997E-2</v>
      </c>
      <c r="K46" t="s">
        <v>294</v>
      </c>
    </row>
    <row r="47" spans="1:11" x14ac:dyDescent="0.3">
      <c r="A47" t="s">
        <v>8</v>
      </c>
      <c r="B47" t="s">
        <v>22</v>
      </c>
      <c r="C47">
        <f>$E$6/100</f>
        <v>0</v>
      </c>
      <c r="D47">
        <f>$E$7/100</f>
        <v>6.0000000000000001E-3</v>
      </c>
      <c r="E47">
        <f>$E$8/100</f>
        <v>0</v>
      </c>
      <c r="F47">
        <f>$E$9/100</f>
        <v>0</v>
      </c>
      <c r="G47">
        <f>$E$10/100</f>
        <v>1E-3</v>
      </c>
      <c r="H47">
        <f>$E$11/100</f>
        <v>1E-3</v>
      </c>
      <c r="I47" s="18">
        <v>0</v>
      </c>
      <c r="J47">
        <f>SUM(Tableau5[[#This Row],[Accidents]:[Congestion ]])</f>
        <v>8.0000000000000002E-3</v>
      </c>
      <c r="K47" t="s">
        <v>294</v>
      </c>
    </row>
    <row r="48" spans="1:11" x14ac:dyDescent="0.3">
      <c r="A48" t="s">
        <v>8</v>
      </c>
      <c r="B48" t="s">
        <v>75</v>
      </c>
      <c r="C48">
        <f>F6/100</f>
        <v>0</v>
      </c>
      <c r="D48">
        <f>$F$7/100</f>
        <v>4.0000000000000001E-3</v>
      </c>
      <c r="E48">
        <f>$F$8/100</f>
        <v>2E-3</v>
      </c>
      <c r="F48">
        <f>$F$9/100</f>
        <v>2E-3</v>
      </c>
      <c r="G48">
        <f>$F$10/100</f>
        <v>1E-3</v>
      </c>
      <c r="H48">
        <f>$F$11/100</f>
        <v>0</v>
      </c>
      <c r="I48" s="18">
        <v>0</v>
      </c>
      <c r="J48">
        <f>SUM(Tableau5[[#This Row],[Accidents]:[Congestion ]])</f>
        <v>9.0000000000000011E-3</v>
      </c>
      <c r="K48" t="s">
        <v>294</v>
      </c>
    </row>
  </sheetData>
  <sheetProtection algorithmName="SHA-512" hashValue="iGi11dfffEfE7e+yDiEfGj3ek/aEo2D7aOZikfKkNn5eku+7NB6A7Pr1pmjjpSDi+kpQfH3C2SdNYSkULIkrag==" saltValue="T4f0oUleqdn6j4fcYVbmwQ==" spinCount="100000" sheet="1" objects="1" scenarios="1"/>
  <mergeCells count="1">
    <mergeCell ref="A2:H2"/>
  </mergeCells>
  <pageMargins left="0.7" right="0.7" top="0.75" bottom="0.75" header="0.3" footer="0.3"/>
  <ignoredErrors>
    <ignoredError sqref="I47:I48 I35:I46 I26" calculatedColumn="1"/>
  </ignoredErrors>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52F00212048146B8086DF39FD3EC8D" ma:contentTypeVersion="12" ma:contentTypeDescription="Crée un document." ma:contentTypeScope="" ma:versionID="bf849804140522c4cdd9e5060cc209f2">
  <xsd:schema xmlns:xsd="http://www.w3.org/2001/XMLSchema" xmlns:xs="http://www.w3.org/2001/XMLSchema" xmlns:p="http://schemas.microsoft.com/office/2006/metadata/properties" xmlns:ns2="0422a7ce-178c-4fb2-8e77-4be8e2a4a59d" xmlns:ns3="4930b28f-c2f6-432f-8ffd-c29cb912e729" targetNamespace="http://schemas.microsoft.com/office/2006/metadata/properties" ma:root="true" ma:fieldsID="664d87b07a3bc965683cb86fccfe015a" ns2:_="" ns3:_="">
    <xsd:import namespace="0422a7ce-178c-4fb2-8e77-4be8e2a4a59d"/>
    <xsd:import namespace="4930b28f-c2f6-432f-8ffd-c29cb912e72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22a7ce-178c-4fb2-8e77-4be8e2a4a5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alises d’images" ma:readOnly="false" ma:fieldId="{5cf76f15-5ced-4ddc-b409-7134ff3c332f}" ma:taxonomyMulti="true" ma:sspId="3438a966-6778-473b-9899-d8937507f58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30b28f-c2f6-432f-8ffd-c29cb912e72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9ec84e23-274c-4475-8d1a-f7cb40231c07}" ma:internalName="TaxCatchAll" ma:showField="CatchAllData" ma:web="4930b28f-c2f6-432f-8ffd-c29cb912e72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422a7ce-178c-4fb2-8e77-4be8e2a4a59d">
      <Terms xmlns="http://schemas.microsoft.com/office/infopath/2007/PartnerControls"/>
    </lcf76f155ced4ddcb4097134ff3c332f>
    <TaxCatchAll xmlns="4930b28f-c2f6-432f-8ffd-c29cb912e729" xsi:nil="true"/>
    <SharedWithUsers xmlns="4930b28f-c2f6-432f-8ffd-c29cb912e729">
      <UserInfo>
        <DisplayName>Pascal Simus</DisplayName>
        <AccountId>17</AccountId>
        <AccountType/>
      </UserInfo>
      <UserInfo>
        <DisplayName>Oriane Braconnier</DisplayName>
        <AccountId>13</AccountId>
        <AccountType/>
      </UserInfo>
      <UserInfo>
        <DisplayName>François Vander Linden</DisplayName>
        <AccountId>9</AccountId>
        <AccountType/>
      </UserInfo>
      <UserInfo>
        <DisplayName>Auriane Didry</DisplayName>
        <AccountId>28</AccountId>
        <AccountType/>
      </UserInfo>
      <UserInfo>
        <DisplayName>Bérénice Ruyssen</DisplayName>
        <AccountId>37</AccountId>
        <AccountType/>
      </UserInfo>
      <UserInfo>
        <DisplayName>Bernard Nizet</DisplayName>
        <AccountId>50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DAAC08-63EC-494B-8EE8-67ACC6460C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22a7ce-178c-4fb2-8e77-4be8e2a4a59d"/>
    <ds:schemaRef ds:uri="4930b28f-c2f6-432f-8ffd-c29cb912e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C6F47A-ACD5-4D87-A11D-7D23292B7F63}">
  <ds:schemaRefs>
    <ds:schemaRef ds:uri="http://schemas.microsoft.com/office/2006/documentManagement/types"/>
    <ds:schemaRef ds:uri="http://schemas.microsoft.com/office/2006/metadata/properties"/>
    <ds:schemaRef ds:uri="0422a7ce-178c-4fb2-8e77-4be8e2a4a59d"/>
    <ds:schemaRef ds:uri="http://purl.org/dc/elements/1.1/"/>
    <ds:schemaRef ds:uri="http://purl.org/dc/terms/"/>
    <ds:schemaRef ds:uri="http://schemas.microsoft.com/office/infopath/2007/PartnerControls"/>
    <ds:schemaRef ds:uri="http://schemas.openxmlformats.org/package/2006/metadata/core-properties"/>
    <ds:schemaRef ds:uri="4930b28f-c2f6-432f-8ffd-c29cb912e729"/>
    <ds:schemaRef ds:uri="http://www.w3.org/XML/1998/namespace"/>
    <ds:schemaRef ds:uri="http://purl.org/dc/dcmitype/"/>
  </ds:schemaRefs>
</ds:datastoreItem>
</file>

<file path=customXml/itemProps3.xml><?xml version="1.0" encoding="utf-8"?>
<ds:datastoreItem xmlns:ds="http://schemas.openxmlformats.org/officeDocument/2006/customXml" ds:itemID="{5DF342D2-EA90-49B5-A248-8F47BE881F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9</vt:i4>
      </vt:variant>
    </vt:vector>
  </HeadingPairs>
  <TitlesOfParts>
    <vt:vector size="19" baseType="lpstr">
      <vt:lpstr>Intro</vt:lpstr>
      <vt:lpstr>Calculateur - trajet</vt:lpstr>
      <vt:lpstr>Calculateur- Conso</vt:lpstr>
      <vt:lpstr>Emissions transports</vt:lpstr>
      <vt:lpstr>Emissions carburants</vt:lpstr>
      <vt:lpstr>Facteurs carburant</vt:lpstr>
      <vt:lpstr>Emissions Transbordement</vt:lpstr>
      <vt:lpstr>Regressions linéaires</vt:lpstr>
      <vt:lpstr>Données coûts</vt:lpstr>
      <vt:lpstr>Liste</vt:lpstr>
      <vt:lpstr>DensitéFerroviaire</vt:lpstr>
      <vt:lpstr>DensitéFluvial</vt:lpstr>
      <vt:lpstr>DensitéRoutier</vt:lpstr>
      <vt:lpstr>VehFerroviaire</vt:lpstr>
      <vt:lpstr>VehFluvial</vt:lpstr>
      <vt:lpstr>VehRoutier</vt:lpstr>
      <vt:lpstr>VoieFerroviaire</vt:lpstr>
      <vt:lpstr>VoieFluvial</vt:lpstr>
      <vt:lpstr>VoieRoutier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Oriane Braconnier</dc:creator>
  <cp:keywords/>
  <dc:description/>
  <cp:lastModifiedBy>RIGO Nicolas</cp:lastModifiedBy>
  <cp:revision/>
  <dcterms:created xsi:type="dcterms:W3CDTF">2023-10-06T07:31:18Z</dcterms:created>
  <dcterms:modified xsi:type="dcterms:W3CDTF">2024-11-18T09:36:31Z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0x010100AA52F00212048146B8086DF39FD3EC8D</vt:lpwstr>
  </property>
  <property fmtid="{D5CDD505-2E9C-101B-9397-08002B2CF9AE}" pid="3" name="MediaServiceImageTags">
    <vt:lpwstr/>
  </property>
  <property fmtid="{D5CDD505-2E9C-101B-9397-08002B2CF9AE}" pid="4" name="MSIP_Label_97a477d1-147d-4e34-b5e3-7b26d2f44870_Enabled">
    <vt:lpwstr>true</vt:lpwstr>
  </property>
  <property fmtid="{D5CDD505-2E9C-101B-9397-08002B2CF9AE}" pid="5" name="MSIP_Label_97a477d1-147d-4e34-b5e3-7b26d2f44870_SetDate">
    <vt:lpwstr>2024-03-19T07:03:44Z</vt:lpwstr>
  </property>
  <property fmtid="{D5CDD505-2E9C-101B-9397-08002B2CF9AE}" pid="6" name="MSIP_Label_97a477d1-147d-4e34-b5e3-7b26d2f44870_Method">
    <vt:lpwstr>Standard</vt:lpwstr>
  </property>
  <property fmtid="{D5CDD505-2E9C-101B-9397-08002B2CF9AE}" pid="7" name="MSIP_Label_97a477d1-147d-4e34-b5e3-7b26d2f44870_Name">
    <vt:lpwstr>97a477d1-147d-4e34-b5e3-7b26d2f44870</vt:lpwstr>
  </property>
  <property fmtid="{D5CDD505-2E9C-101B-9397-08002B2CF9AE}" pid="8" name="MSIP_Label_97a477d1-147d-4e34-b5e3-7b26d2f44870_SiteId">
    <vt:lpwstr>1f816a84-7aa6-4a56-b22a-7b3452fa8681</vt:lpwstr>
  </property>
  <property fmtid="{D5CDD505-2E9C-101B-9397-08002B2CF9AE}" pid="9" name="MSIP_Label_97a477d1-147d-4e34-b5e3-7b26d2f44870_ActionId">
    <vt:lpwstr>da1c302e-d076-4770-8313-2165182b67d1</vt:lpwstr>
  </property>
  <property fmtid="{D5CDD505-2E9C-101B-9397-08002B2CF9AE}" pid="10" name="MSIP_Label_97a477d1-147d-4e34-b5e3-7b26d2f44870_ContentBits">
    <vt:lpwstr>0</vt:lpwstr>
  </property>
</Properties>
</file>